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Volchanitsa\Downloads\Wszystko\"/>
    </mc:Choice>
  </mc:AlternateContent>
  <xr:revisionPtr revIDLastSave="0" documentId="8_{A5EBBF5F-2830-403D-8DD9-788B7B3B4ACC}" xr6:coauthVersionLast="47" xr6:coauthVersionMax="47" xr10:uidLastSave="{00000000-0000-0000-0000-000000000000}"/>
  <bookViews>
    <workbookView xWindow="28680" yWindow="-30" windowWidth="29040" windowHeight="15720" tabRatio="500" xr2:uid="{00000000-000D-0000-FFFF-FFFF00000000}"/>
  </bookViews>
  <sheets>
    <sheet name="Dane_kredytowe" sheetId="10" r:id="rId1"/>
    <sheet name="Arkusz1" sheetId="11" state="hidden" r:id="rId2"/>
    <sheet name="KALKULATOR" sheetId="1" state="hidden" r:id="rId3"/>
    <sheet name="Wykres rat" sheetId="8" state="hidden" r:id="rId4"/>
    <sheet name="Dane" sheetId="7" state="hidden" r:id="rId5"/>
  </sheets>
  <definedNames>
    <definedName name="Inflacja">Dane!$V$3:$W$255</definedName>
    <definedName name="kursNBP">#REF!</definedName>
    <definedName name="Kursy">Dane!$A$2:$D$289</definedName>
    <definedName name="Marza">Dane!$Q$3:$R$230</definedName>
    <definedName name="Oproc">Dane!$H$2:$L$299</definedName>
    <definedName name="waluta">Dane!$N$1:$O$4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276" i="1" l="1"/>
  <c r="CJ276" i="1" s="1"/>
  <c r="CM276" i="1"/>
  <c r="CN276" i="1" s="1"/>
  <c r="CD276" i="1"/>
  <c r="CE276" i="1"/>
  <c r="CF276" i="1"/>
  <c r="CG276" i="1"/>
  <c r="CI275" i="1"/>
  <c r="CK275" i="1" s="1"/>
  <c r="BX276" i="1"/>
  <c r="BY276" i="1" s="1"/>
  <c r="BQ276" i="1"/>
  <c r="BR276" i="1"/>
  <c r="BU276" i="1" s="1"/>
  <c r="BX275" i="1"/>
  <c r="BL276" i="1"/>
  <c r="BM276" i="1" s="1"/>
  <c r="BE276" i="1"/>
  <c r="BF276" i="1" s="1"/>
  <c r="BJ276" i="1" s="1"/>
  <c r="BG276" i="1"/>
  <c r="AY276" i="1"/>
  <c r="BA276" i="1" s="1"/>
  <c r="BB276" i="1" s="1"/>
  <c r="BC276" i="1" s="1"/>
  <c r="AZ276" i="1"/>
  <c r="AR276" i="1"/>
  <c r="AS276" i="1"/>
  <c r="AT276" i="1" s="1"/>
  <c r="AD276" i="1"/>
  <c r="AE276" i="1" s="1"/>
  <c r="AG276" i="1"/>
  <c r="AI276" i="1" s="1"/>
  <c r="AL276" i="1"/>
  <c r="AM276" i="1" s="1"/>
  <c r="X276" i="1"/>
  <c r="AB276" i="1"/>
  <c r="T276" i="1" s="1"/>
  <c r="K276" i="1"/>
  <c r="Q276" i="1" s="1"/>
  <c r="L276" i="1"/>
  <c r="M276" i="1" s="1"/>
  <c r="N276" i="1"/>
  <c r="O276" i="1"/>
  <c r="P276" i="1"/>
  <c r="C276" i="1"/>
  <c r="D276" i="1"/>
  <c r="B276" i="1"/>
  <c r="A274" i="7"/>
  <c r="AD275" i="1"/>
  <c r="AR275" i="1"/>
  <c r="BE275" i="1"/>
  <c r="BF275" i="1" s="1"/>
  <c r="B275" i="1"/>
  <c r="A273" i="7"/>
  <c r="AR272" i="1"/>
  <c r="BE272" i="1"/>
  <c r="BF272" i="1" s="1"/>
  <c r="CI272" i="1"/>
  <c r="CK272" i="1"/>
  <c r="AR273" i="1"/>
  <c r="BE273" i="1"/>
  <c r="BF273" i="1" s="1"/>
  <c r="BQ273" i="1"/>
  <c r="CI273" i="1"/>
  <c r="CK273" i="1"/>
  <c r="AR274" i="1"/>
  <c r="BE274" i="1"/>
  <c r="BF274" i="1"/>
  <c r="BQ274" i="1"/>
  <c r="CI274" i="1"/>
  <c r="CK274" i="1"/>
  <c r="AD272" i="1"/>
  <c r="AD273" i="1"/>
  <c r="AD274" i="1"/>
  <c r="S272" i="1"/>
  <c r="X272" i="1" s="1"/>
  <c r="S273" i="1"/>
  <c r="X273" i="1" s="1"/>
  <c r="S274" i="1"/>
  <c r="X274" i="1" s="1"/>
  <c r="CK271" i="1"/>
  <c r="CI271" i="1"/>
  <c r="BQ271" i="1"/>
  <c r="BF271" i="1"/>
  <c r="BE271" i="1"/>
  <c r="AR271" i="1"/>
  <c r="AD271" i="1"/>
  <c r="R2" i="1"/>
  <c r="S271" i="1"/>
  <c r="X271" i="1" s="1"/>
  <c r="S278" i="1"/>
  <c r="S279" i="1"/>
  <c r="S280" i="1"/>
  <c r="S281" i="1"/>
  <c r="S282" i="1"/>
  <c r="S283" i="1"/>
  <c r="S284" i="1"/>
  <c r="S285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CK276" i="1" l="1"/>
  <c r="BZ276" i="1"/>
  <c r="CA276" i="1" s="1"/>
  <c r="CB276" i="1" s="1"/>
  <c r="BV276" i="1"/>
  <c r="BT276" i="1"/>
  <c r="BS276" i="1" s="1"/>
  <c r="BN276" i="1"/>
  <c r="BO276" i="1" s="1"/>
  <c r="BI276" i="1"/>
  <c r="BH276" i="1" s="1"/>
  <c r="AU276" i="1"/>
  <c r="AJ276" i="1"/>
  <c r="AK276" i="1" s="1"/>
  <c r="AP276" i="1" s="1"/>
  <c r="AH276" i="1"/>
  <c r="AN276" i="1"/>
  <c r="AO276" i="1" s="1"/>
  <c r="Z276" i="1"/>
  <c r="U276" i="1"/>
  <c r="Y276" i="1"/>
  <c r="BQ275" i="1"/>
  <c r="BQ272" i="1"/>
  <c r="L30" i="10"/>
  <c r="M28" i="10"/>
  <c r="C17" i="10"/>
  <c r="AV276" i="1" l="1"/>
  <c r="AW276" i="1"/>
  <c r="G276" i="1"/>
  <c r="V276" i="1"/>
  <c r="S277" i="1" s="1"/>
  <c r="AA276" i="1"/>
  <c r="E276" i="1"/>
  <c r="F276" i="1" s="1"/>
  <c r="H276" i="1" s="1"/>
  <c r="CK268" i="1"/>
  <c r="CK269" i="1"/>
  <c r="CK270" i="1"/>
  <c r="CI268" i="1"/>
  <c r="CI269" i="1"/>
  <c r="CI270" i="1"/>
  <c r="BQ268" i="1"/>
  <c r="BQ269" i="1"/>
  <c r="BQ270" i="1"/>
  <c r="BF268" i="1"/>
  <c r="BF269" i="1"/>
  <c r="BF270" i="1"/>
  <c r="BE268" i="1"/>
  <c r="BE269" i="1"/>
  <c r="BE270" i="1"/>
  <c r="AR268" i="1"/>
  <c r="AR269" i="1"/>
  <c r="AR270" i="1"/>
  <c r="AD268" i="1"/>
  <c r="AD269" i="1"/>
  <c r="AD270" i="1"/>
  <c r="W268" i="1"/>
  <c r="W269" i="1"/>
  <c r="W270" i="1"/>
  <c r="X268" i="1"/>
  <c r="X269" i="1"/>
  <c r="X270" i="1"/>
  <c r="B269" i="1"/>
  <c r="B270" i="1" s="1"/>
  <c r="B271" i="1" s="1"/>
  <c r="B272" i="1" s="1"/>
  <c r="B273" i="1" s="1"/>
  <c r="B274" i="1" s="1"/>
  <c r="B268" i="1"/>
  <c r="AB3" i="10" l="1"/>
  <c r="D31" i="10" l="1"/>
  <c r="D29" i="10"/>
  <c r="X90" i="1"/>
  <c r="X91" i="1"/>
  <c r="X92" i="1"/>
  <c r="X94" i="1"/>
  <c r="X97" i="1"/>
  <c r="X98" i="1"/>
  <c r="X99" i="1"/>
  <c r="X100" i="1"/>
  <c r="X103" i="1"/>
  <c r="X104" i="1"/>
  <c r="X110" i="1"/>
  <c r="X111" i="1"/>
  <c r="X112" i="1"/>
  <c r="X114" i="1"/>
  <c r="X115" i="1"/>
  <c r="X116" i="1"/>
  <c r="X118" i="1"/>
  <c r="X121" i="1"/>
  <c r="X122" i="1"/>
  <c r="X123" i="1"/>
  <c r="X124" i="1"/>
  <c r="X126" i="1"/>
  <c r="X127" i="1"/>
  <c r="X128" i="1"/>
  <c r="X130" i="1"/>
  <c r="X133" i="1"/>
  <c r="X134" i="1"/>
  <c r="X135" i="1"/>
  <c r="X136" i="1"/>
  <c r="X138" i="1"/>
  <c r="X139" i="1"/>
  <c r="X140" i="1"/>
  <c r="X142" i="1"/>
  <c r="X145" i="1"/>
  <c r="X146" i="1"/>
  <c r="X147" i="1"/>
  <c r="X148" i="1"/>
  <c r="X151" i="1"/>
  <c r="X154" i="1"/>
  <c r="X158" i="1"/>
  <c r="X159" i="1"/>
  <c r="X160" i="1"/>
  <c r="X162" i="1"/>
  <c r="X163" i="1"/>
  <c r="X164" i="1"/>
  <c r="X165" i="1"/>
  <c r="X166" i="1"/>
  <c r="X169" i="1"/>
  <c r="X170" i="1"/>
  <c r="X171" i="1"/>
  <c r="X172" i="1"/>
  <c r="X174" i="1"/>
  <c r="X175" i="1"/>
  <c r="X176" i="1"/>
  <c r="X177" i="1"/>
  <c r="X178" i="1"/>
  <c r="X181" i="1"/>
  <c r="X182" i="1"/>
  <c r="X183" i="1"/>
  <c r="X184" i="1"/>
  <c r="X186" i="1"/>
  <c r="X187" i="1"/>
  <c r="X189" i="1"/>
  <c r="X190" i="1"/>
  <c r="X193" i="1"/>
  <c r="X194" i="1"/>
  <c r="X195" i="1"/>
  <c r="X196" i="1"/>
  <c r="X198" i="1"/>
  <c r="X199" i="1"/>
  <c r="X200" i="1"/>
  <c r="X201" i="1"/>
  <c r="X202" i="1"/>
  <c r="X205" i="1"/>
  <c r="X206" i="1"/>
  <c r="X207" i="1"/>
  <c r="X208" i="1"/>
  <c r="X210" i="1"/>
  <c r="X211" i="1"/>
  <c r="X213" i="1"/>
  <c r="X214" i="1"/>
  <c r="X217" i="1"/>
  <c r="X218" i="1"/>
  <c r="X219" i="1"/>
  <c r="X220" i="1"/>
  <c r="X222" i="1"/>
  <c r="X223" i="1"/>
  <c r="X224" i="1"/>
  <c r="X225" i="1"/>
  <c r="X226" i="1"/>
  <c r="X229" i="1"/>
  <c r="X230" i="1"/>
  <c r="X231" i="1"/>
  <c r="X232" i="1"/>
  <c r="X235" i="1"/>
  <c r="X237" i="1"/>
  <c r="X238" i="1"/>
  <c r="X241" i="1"/>
  <c r="X242" i="1"/>
  <c r="X243" i="1"/>
  <c r="X244" i="1"/>
  <c r="X247" i="1"/>
  <c r="X248" i="1"/>
  <c r="X249" i="1"/>
  <c r="X253" i="1"/>
  <c r="X254" i="1"/>
  <c r="X255" i="1"/>
  <c r="X256" i="1"/>
  <c r="X259" i="1"/>
  <c r="X260" i="1"/>
  <c r="X261" i="1"/>
  <c r="X262" i="1"/>
  <c r="X266" i="1"/>
  <c r="X267" i="1"/>
  <c r="X5" i="1"/>
  <c r="X6" i="1"/>
  <c r="X7" i="1"/>
  <c r="X8" i="1"/>
  <c r="X9" i="1"/>
  <c r="X10" i="1"/>
  <c r="X11" i="1"/>
  <c r="X15" i="1"/>
  <c r="X16" i="1"/>
  <c r="X17" i="1"/>
  <c r="X18" i="1"/>
  <c r="X19" i="1"/>
  <c r="X20" i="1"/>
  <c r="X21" i="1"/>
  <c r="X22" i="1"/>
  <c r="X23" i="1"/>
  <c r="X27" i="1"/>
  <c r="X28" i="1"/>
  <c r="X29" i="1"/>
  <c r="X30" i="1"/>
  <c r="X31" i="1"/>
  <c r="X32" i="1"/>
  <c r="X33" i="1"/>
  <c r="X35" i="1"/>
  <c r="X39" i="1"/>
  <c r="X40" i="1"/>
  <c r="X41" i="1"/>
  <c r="X42" i="1"/>
  <c r="X43" i="1"/>
  <c r="X44" i="1"/>
  <c r="X45" i="1"/>
  <c r="X46" i="1"/>
  <c r="X47" i="1"/>
  <c r="X50" i="1"/>
  <c r="X51" i="1"/>
  <c r="X52" i="1"/>
  <c r="X53" i="1"/>
  <c r="X54" i="1"/>
  <c r="X55" i="1"/>
  <c r="X56" i="1"/>
  <c r="X57" i="1"/>
  <c r="X58" i="1"/>
  <c r="X59" i="1"/>
  <c r="X63" i="1"/>
  <c r="X64" i="1"/>
  <c r="X65" i="1"/>
  <c r="X66" i="1"/>
  <c r="X68" i="1"/>
  <c r="X69" i="1"/>
  <c r="X70" i="1"/>
  <c r="X71" i="1"/>
  <c r="X76" i="1"/>
  <c r="X77" i="1"/>
  <c r="X79" i="1"/>
  <c r="X80" i="1"/>
  <c r="X81" i="1"/>
  <c r="X82" i="1"/>
  <c r="X83" i="1"/>
  <c r="X85" i="1"/>
  <c r="X86" i="1"/>
  <c r="X87" i="1"/>
  <c r="X88" i="1"/>
  <c r="X74" i="1"/>
  <c r="X93" i="1"/>
  <c r="X105" i="1"/>
  <c r="X117" i="1"/>
  <c r="X129" i="1"/>
  <c r="X141" i="1"/>
  <c r="X153" i="1"/>
  <c r="X185" i="1"/>
  <c r="X197" i="1"/>
  <c r="X209" i="1"/>
  <c r="X221" i="1"/>
  <c r="X233" i="1"/>
  <c r="X245" i="1"/>
  <c r="X250" i="1"/>
  <c r="X72" i="1"/>
  <c r="X73" i="1"/>
  <c r="X84" i="1"/>
  <c r="X95" i="1"/>
  <c r="X96" i="1"/>
  <c r="X102" i="1"/>
  <c r="X106" i="1"/>
  <c r="X107" i="1"/>
  <c r="X108" i="1"/>
  <c r="X109" i="1"/>
  <c r="X119" i="1"/>
  <c r="X120" i="1"/>
  <c r="X131" i="1"/>
  <c r="X132" i="1"/>
  <c r="X143" i="1"/>
  <c r="X144" i="1"/>
  <c r="X150" i="1"/>
  <c r="X152" i="1"/>
  <c r="X155" i="1"/>
  <c r="X156" i="1"/>
  <c r="X157" i="1"/>
  <c r="X167" i="1"/>
  <c r="X168" i="1"/>
  <c r="X179" i="1"/>
  <c r="X180" i="1"/>
  <c r="X188" i="1"/>
  <c r="X191" i="1"/>
  <c r="X192" i="1"/>
  <c r="X203" i="1"/>
  <c r="X204" i="1"/>
  <c r="X212" i="1"/>
  <c r="X215" i="1"/>
  <c r="X216" i="1"/>
  <c r="X227" i="1"/>
  <c r="X228" i="1"/>
  <c r="X234" i="1"/>
  <c r="X236" i="1"/>
  <c r="X239" i="1"/>
  <c r="X240" i="1"/>
  <c r="X251" i="1"/>
  <c r="X252" i="1"/>
  <c r="X263" i="1"/>
  <c r="X264" i="1"/>
  <c r="X265" i="1"/>
  <c r="X12" i="1"/>
  <c r="X13" i="1"/>
  <c r="X14" i="1"/>
  <c r="X24" i="1"/>
  <c r="X25" i="1"/>
  <c r="X26" i="1"/>
  <c r="X34" i="1"/>
  <c r="X36" i="1"/>
  <c r="X37" i="1"/>
  <c r="X38" i="1"/>
  <c r="X48" i="1"/>
  <c r="X49" i="1"/>
  <c r="X60" i="1"/>
  <c r="X61" i="1"/>
  <c r="X62" i="1"/>
  <c r="X67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K192" i="1"/>
  <c r="CK193" i="1"/>
  <c r="CK194" i="1"/>
  <c r="CK195" i="1"/>
  <c r="CK196" i="1"/>
  <c r="CK197" i="1"/>
  <c r="CK198" i="1"/>
  <c r="CK199" i="1"/>
  <c r="CK200" i="1"/>
  <c r="CK201" i="1"/>
  <c r="CK202" i="1"/>
  <c r="CK203" i="1"/>
  <c r="CK204" i="1"/>
  <c r="CK205" i="1"/>
  <c r="CK206" i="1"/>
  <c r="CK207" i="1"/>
  <c r="CK208" i="1"/>
  <c r="CK209" i="1"/>
  <c r="CK210" i="1"/>
  <c r="CK211" i="1"/>
  <c r="CK212" i="1"/>
  <c r="CK213" i="1"/>
  <c r="CK214" i="1"/>
  <c r="CK215" i="1"/>
  <c r="CK216" i="1"/>
  <c r="CK217" i="1"/>
  <c r="CK218" i="1"/>
  <c r="CK219" i="1"/>
  <c r="CK220" i="1"/>
  <c r="CK221" i="1"/>
  <c r="CK222" i="1"/>
  <c r="CK223" i="1"/>
  <c r="CK224" i="1"/>
  <c r="CK225" i="1"/>
  <c r="CK226" i="1"/>
  <c r="CK227" i="1"/>
  <c r="CK228" i="1"/>
  <c r="CK229" i="1"/>
  <c r="CK230" i="1"/>
  <c r="CK231" i="1"/>
  <c r="CK232" i="1"/>
  <c r="CK233" i="1"/>
  <c r="CK234" i="1"/>
  <c r="CK235" i="1"/>
  <c r="CK236" i="1"/>
  <c r="CK237" i="1"/>
  <c r="CK238" i="1"/>
  <c r="CK239" i="1"/>
  <c r="CK240" i="1"/>
  <c r="CK241" i="1"/>
  <c r="CK242" i="1"/>
  <c r="CK243" i="1"/>
  <c r="CK244" i="1"/>
  <c r="CK245" i="1"/>
  <c r="CK246" i="1"/>
  <c r="CK247" i="1"/>
  <c r="CK248" i="1"/>
  <c r="CK249" i="1"/>
  <c r="CK250" i="1"/>
  <c r="CK251" i="1"/>
  <c r="CK252" i="1"/>
  <c r="CK253" i="1"/>
  <c r="CK254" i="1"/>
  <c r="CK255" i="1"/>
  <c r="CK256" i="1"/>
  <c r="CK257" i="1"/>
  <c r="CK258" i="1"/>
  <c r="CK259" i="1"/>
  <c r="CK260" i="1"/>
  <c r="CK261" i="1"/>
  <c r="CK262" i="1"/>
  <c r="CK263" i="1"/>
  <c r="CK264" i="1"/>
  <c r="CK265" i="1"/>
  <c r="CK266" i="1"/>
  <c r="CK267" i="1"/>
  <c r="CK5" i="1"/>
  <c r="CK4" i="1"/>
  <c r="CK2" i="1" s="1"/>
  <c r="CD5" i="1"/>
  <c r="BX5" i="1"/>
  <c r="BQ4" i="1"/>
  <c r="BQ5" i="1"/>
  <c r="BR5" i="1"/>
  <c r="BL5" i="1"/>
  <c r="BG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5" i="1"/>
  <c r="AL5" i="1"/>
  <c r="AG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O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AC5" i="1"/>
  <c r="W5" i="1"/>
  <c r="W2" i="1" l="1"/>
  <c r="P5" i="1"/>
  <c r="K23" i="1"/>
  <c r="Q23" i="1" s="1"/>
  <c r="K24" i="1"/>
  <c r="Q24" i="1" s="1"/>
  <c r="K25" i="1"/>
  <c r="Q25" i="1" s="1"/>
  <c r="K26" i="1"/>
  <c r="Q26" i="1" s="1"/>
  <c r="K27" i="1"/>
  <c r="Q27" i="1" s="1"/>
  <c r="K28" i="1"/>
  <c r="Q28" i="1" s="1"/>
  <c r="K29" i="1"/>
  <c r="Q29" i="1" s="1"/>
  <c r="K30" i="1"/>
  <c r="Q30" i="1" s="1"/>
  <c r="K31" i="1"/>
  <c r="Q31" i="1" s="1"/>
  <c r="K32" i="1"/>
  <c r="Q32" i="1" s="1"/>
  <c r="K33" i="1"/>
  <c r="Q33" i="1" s="1"/>
  <c r="K34" i="1"/>
  <c r="Q34" i="1" s="1"/>
  <c r="K35" i="1"/>
  <c r="Q35" i="1" s="1"/>
  <c r="K36" i="1"/>
  <c r="Q36" i="1" s="1"/>
  <c r="K37" i="1"/>
  <c r="Q37" i="1" s="1"/>
  <c r="K38" i="1"/>
  <c r="Q38" i="1" s="1"/>
  <c r="K39" i="1"/>
  <c r="Q39" i="1" s="1"/>
  <c r="K40" i="1"/>
  <c r="Q40" i="1" s="1"/>
  <c r="K41" i="1"/>
  <c r="Q41" i="1" s="1"/>
  <c r="K42" i="1"/>
  <c r="Q42" i="1" s="1"/>
  <c r="K43" i="1"/>
  <c r="Q43" i="1" s="1"/>
  <c r="K44" i="1"/>
  <c r="Q44" i="1" s="1"/>
  <c r="K45" i="1"/>
  <c r="Q45" i="1" s="1"/>
  <c r="K46" i="1"/>
  <c r="Q46" i="1" s="1"/>
  <c r="K47" i="1"/>
  <c r="Q47" i="1" s="1"/>
  <c r="K48" i="1"/>
  <c r="Q48" i="1" s="1"/>
  <c r="K49" i="1"/>
  <c r="Q49" i="1" s="1"/>
  <c r="K6" i="1"/>
  <c r="Q6" i="1" s="1"/>
  <c r="K7" i="1"/>
  <c r="Q7" i="1" s="1"/>
  <c r="K8" i="1"/>
  <c r="Q8" i="1" s="1"/>
  <c r="K9" i="1"/>
  <c r="Q9" i="1" s="1"/>
  <c r="K10" i="1"/>
  <c r="Q10" i="1" s="1"/>
  <c r="K11" i="1"/>
  <c r="Q11" i="1" s="1"/>
  <c r="K12" i="1"/>
  <c r="Q12" i="1" s="1"/>
  <c r="K13" i="1"/>
  <c r="Q13" i="1" s="1"/>
  <c r="K14" i="1"/>
  <c r="Q14" i="1" s="1"/>
  <c r="K15" i="1"/>
  <c r="Q15" i="1" s="1"/>
  <c r="K16" i="1"/>
  <c r="Q16" i="1" s="1"/>
  <c r="K17" i="1"/>
  <c r="Q17" i="1" s="1"/>
  <c r="K18" i="1"/>
  <c r="Q18" i="1" s="1"/>
  <c r="K19" i="1"/>
  <c r="Q19" i="1" s="1"/>
  <c r="K20" i="1"/>
  <c r="Q20" i="1" s="1"/>
  <c r="K21" i="1"/>
  <c r="Q21" i="1" s="1"/>
  <c r="K22" i="1"/>
  <c r="Q22" i="1" s="1"/>
  <c r="K5" i="1"/>
  <c r="Q5" i="1" s="1"/>
  <c r="U5" i="1" s="1"/>
  <c r="C18" i="10"/>
  <c r="K50" i="1" l="1"/>
  <c r="Q50" i="1" s="1"/>
  <c r="AB6" i="1"/>
  <c r="Z5" i="1"/>
  <c r="BJ5" i="1"/>
  <c r="BU5" i="1"/>
  <c r="C4" i="1"/>
  <c r="K51" i="1" l="1"/>
  <c r="Q51" i="1" s="1"/>
  <c r="K52" i="1"/>
  <c r="A267" i="7"/>
  <c r="A268" i="7" s="1"/>
  <c r="A269" i="7" s="1"/>
  <c r="A270" i="7" s="1"/>
  <c r="A271" i="7" s="1"/>
  <c r="A266" i="7"/>
  <c r="Q52" i="1" l="1"/>
  <c r="K53" i="1"/>
  <c r="A272" i="7"/>
  <c r="K54" i="1" l="1"/>
  <c r="Q53" i="1"/>
  <c r="K55" i="1" l="1"/>
  <c r="Q54" i="1"/>
  <c r="K10" i="10"/>
  <c r="K11" i="10" s="1"/>
  <c r="K12" i="10" s="1"/>
  <c r="K13" i="10" s="1"/>
  <c r="K14" i="10" s="1"/>
  <c r="K15" i="10" s="1"/>
  <c r="K16" i="10" s="1"/>
  <c r="K17" i="10" s="1"/>
  <c r="K18" i="10" s="1"/>
  <c r="K56" i="1" l="1"/>
  <c r="Q55" i="1"/>
  <c r="N5" i="1"/>
  <c r="Q56" i="1" l="1"/>
  <c r="K57" i="1"/>
  <c r="C2" i="1"/>
  <c r="C271" i="1" l="1"/>
  <c r="D271" i="1" s="1"/>
  <c r="C273" i="1"/>
  <c r="D273" i="1" s="1"/>
  <c r="L274" i="1"/>
  <c r="M274" i="1" s="1"/>
  <c r="L275" i="1"/>
  <c r="M275" i="1" s="1"/>
  <c r="L273" i="1"/>
  <c r="M273" i="1" s="1"/>
  <c r="C272" i="1"/>
  <c r="D272" i="1" s="1"/>
  <c r="L271" i="1"/>
  <c r="M271" i="1" s="1"/>
  <c r="C275" i="1"/>
  <c r="D275" i="1" s="1"/>
  <c r="L272" i="1"/>
  <c r="M272" i="1" s="1"/>
  <c r="C274" i="1"/>
  <c r="D274" i="1" s="1"/>
  <c r="L268" i="1"/>
  <c r="M268" i="1" s="1"/>
  <c r="C268" i="1"/>
  <c r="D268" i="1" s="1"/>
  <c r="C269" i="1"/>
  <c r="D269" i="1" s="1"/>
  <c r="C270" i="1"/>
  <c r="D270" i="1" s="1"/>
  <c r="L269" i="1"/>
  <c r="M269" i="1" s="1"/>
  <c r="L270" i="1"/>
  <c r="M270" i="1" s="1"/>
  <c r="K58" i="1"/>
  <c r="Q57" i="1"/>
  <c r="E5" i="1"/>
  <c r="CI267" i="1"/>
  <c r="BE267" i="1"/>
  <c r="AR267" i="1"/>
  <c r="CI266" i="1"/>
  <c r="BE266" i="1"/>
  <c r="AR266" i="1"/>
  <c r="CI265" i="1"/>
  <c r="BE265" i="1"/>
  <c r="AR265" i="1"/>
  <c r="CI264" i="1"/>
  <c r="BE264" i="1"/>
  <c r="AR264" i="1"/>
  <c r="V265" i="7"/>
  <c r="V264" i="7"/>
  <c r="V263" i="7"/>
  <c r="V262" i="7"/>
  <c r="V261" i="7"/>
  <c r="V260" i="7"/>
  <c r="I262" i="7"/>
  <c r="I263" i="7"/>
  <c r="I264" i="7"/>
  <c r="I265" i="7"/>
  <c r="J265" i="7"/>
  <c r="J262" i="7"/>
  <c r="J263" i="7"/>
  <c r="J264" i="7"/>
  <c r="K265" i="7"/>
  <c r="K264" i="7"/>
  <c r="L263" i="7"/>
  <c r="H265" i="7"/>
  <c r="H264" i="7"/>
  <c r="H263" i="7"/>
  <c r="H262" i="7"/>
  <c r="BE263" i="1" s="1"/>
  <c r="CI263" i="1"/>
  <c r="AR263" i="1"/>
  <c r="CI262" i="1"/>
  <c r="AR262" i="1"/>
  <c r="I259" i="7"/>
  <c r="I260" i="7"/>
  <c r="I261" i="7"/>
  <c r="J259" i="7"/>
  <c r="J260" i="7"/>
  <c r="J261" i="7"/>
  <c r="L261" i="7"/>
  <c r="L260" i="7"/>
  <c r="H261" i="7"/>
  <c r="H260" i="7"/>
  <c r="V259" i="7"/>
  <c r="H259" i="7"/>
  <c r="CI261" i="1"/>
  <c r="AR261" i="1"/>
  <c r="CI260" i="1"/>
  <c r="BE260" i="1"/>
  <c r="AR260" i="1"/>
  <c r="V258" i="7"/>
  <c r="H258" i="7"/>
  <c r="CI259" i="1"/>
  <c r="BE259" i="1"/>
  <c r="AR259" i="1"/>
  <c r="H257" i="7"/>
  <c r="CI258" i="1"/>
  <c r="AR258" i="1"/>
  <c r="H256" i="7"/>
  <c r="CI257" i="1"/>
  <c r="CI256" i="1"/>
  <c r="CI255" i="1"/>
  <c r="CI254" i="1"/>
  <c r="CI253" i="1"/>
  <c r="CI252" i="1"/>
  <c r="CI251" i="1"/>
  <c r="CI250" i="1"/>
  <c r="CI249" i="1"/>
  <c r="CI248" i="1"/>
  <c r="CI247" i="1"/>
  <c r="CI246" i="1"/>
  <c r="CI245" i="1"/>
  <c r="CI244" i="1"/>
  <c r="CI243" i="1"/>
  <c r="CI242" i="1"/>
  <c r="CI241" i="1"/>
  <c r="CI240" i="1"/>
  <c r="CI239" i="1"/>
  <c r="CI238" i="1"/>
  <c r="CI237" i="1"/>
  <c r="CI236" i="1"/>
  <c r="CI235" i="1"/>
  <c r="CI234" i="1"/>
  <c r="CI233" i="1"/>
  <c r="CI232" i="1"/>
  <c r="CI231" i="1"/>
  <c r="CI230" i="1"/>
  <c r="CI229" i="1"/>
  <c r="CI228" i="1"/>
  <c r="CI227" i="1"/>
  <c r="CI226" i="1"/>
  <c r="CI225" i="1"/>
  <c r="CI224" i="1"/>
  <c r="CI223" i="1"/>
  <c r="CI222" i="1"/>
  <c r="CI221" i="1"/>
  <c r="CI220" i="1"/>
  <c r="CI219" i="1"/>
  <c r="CI218" i="1"/>
  <c r="CI217" i="1"/>
  <c r="CI216" i="1"/>
  <c r="CI215" i="1"/>
  <c r="CI214" i="1"/>
  <c r="CI213" i="1"/>
  <c r="CI212" i="1"/>
  <c r="CI211" i="1"/>
  <c r="CI210" i="1"/>
  <c r="CI209" i="1"/>
  <c r="CI208" i="1"/>
  <c r="CI207" i="1"/>
  <c r="CI206" i="1"/>
  <c r="CI205" i="1"/>
  <c r="CI204" i="1"/>
  <c r="CI203" i="1"/>
  <c r="CI202" i="1"/>
  <c r="CI201" i="1"/>
  <c r="CI200" i="1"/>
  <c r="CI199" i="1"/>
  <c r="CI198" i="1"/>
  <c r="CI197" i="1"/>
  <c r="CI196" i="1"/>
  <c r="CI195" i="1"/>
  <c r="CI194" i="1"/>
  <c r="CI193" i="1"/>
  <c r="CI192" i="1"/>
  <c r="CI191" i="1"/>
  <c r="CI190" i="1"/>
  <c r="CI189" i="1"/>
  <c r="CI188" i="1"/>
  <c r="CI187" i="1"/>
  <c r="CI186" i="1"/>
  <c r="CI185" i="1"/>
  <c r="CI184" i="1"/>
  <c r="CI183" i="1"/>
  <c r="CI182" i="1"/>
  <c r="CI181" i="1"/>
  <c r="CI180" i="1"/>
  <c r="CI179" i="1"/>
  <c r="CI178" i="1"/>
  <c r="CI177" i="1"/>
  <c r="CI176" i="1"/>
  <c r="CI175" i="1"/>
  <c r="CI174" i="1"/>
  <c r="CI173" i="1"/>
  <c r="CI172" i="1"/>
  <c r="CI171" i="1"/>
  <c r="CI170" i="1"/>
  <c r="CI169" i="1"/>
  <c r="CI168" i="1"/>
  <c r="CI167" i="1"/>
  <c r="CI166" i="1"/>
  <c r="CI165" i="1"/>
  <c r="CI164" i="1"/>
  <c r="CI163" i="1"/>
  <c r="CI162" i="1"/>
  <c r="CI161" i="1"/>
  <c r="CI160" i="1"/>
  <c r="CI159" i="1"/>
  <c r="CI158" i="1"/>
  <c r="CI157" i="1"/>
  <c r="CI156" i="1"/>
  <c r="CI155" i="1"/>
  <c r="CI154" i="1"/>
  <c r="CI153" i="1"/>
  <c r="CI152" i="1"/>
  <c r="CI151" i="1"/>
  <c r="CI150" i="1"/>
  <c r="CI149" i="1"/>
  <c r="CI148" i="1"/>
  <c r="CI147" i="1"/>
  <c r="CI146" i="1"/>
  <c r="CI145" i="1"/>
  <c r="CI144" i="1"/>
  <c r="CI143" i="1"/>
  <c r="CI142" i="1"/>
  <c r="CI141" i="1"/>
  <c r="CI140" i="1"/>
  <c r="CI139" i="1"/>
  <c r="CI138" i="1"/>
  <c r="CI137" i="1"/>
  <c r="CI136" i="1"/>
  <c r="CI135" i="1"/>
  <c r="CI134" i="1"/>
  <c r="CI133" i="1"/>
  <c r="CI132" i="1"/>
  <c r="CI131" i="1"/>
  <c r="CI130" i="1"/>
  <c r="CI129" i="1"/>
  <c r="CI128" i="1"/>
  <c r="CI127" i="1"/>
  <c r="CI126" i="1"/>
  <c r="CI125" i="1"/>
  <c r="CI124" i="1"/>
  <c r="CI123" i="1"/>
  <c r="CI122" i="1"/>
  <c r="CI121" i="1"/>
  <c r="CI120" i="1"/>
  <c r="CI119" i="1"/>
  <c r="CI118" i="1"/>
  <c r="CI117" i="1"/>
  <c r="CI116" i="1"/>
  <c r="CI115" i="1"/>
  <c r="CI114" i="1"/>
  <c r="CI113" i="1"/>
  <c r="CI112" i="1"/>
  <c r="CI111" i="1"/>
  <c r="CI110" i="1"/>
  <c r="CI109" i="1"/>
  <c r="CI108" i="1"/>
  <c r="CI107" i="1"/>
  <c r="CI106" i="1"/>
  <c r="CI105" i="1"/>
  <c r="CI104" i="1"/>
  <c r="CI103" i="1"/>
  <c r="CI102" i="1"/>
  <c r="CI101" i="1"/>
  <c r="CI100" i="1"/>
  <c r="CI99" i="1"/>
  <c r="CI98" i="1"/>
  <c r="CI97" i="1"/>
  <c r="CI96" i="1"/>
  <c r="CI95" i="1"/>
  <c r="CI94" i="1"/>
  <c r="CI93" i="1"/>
  <c r="CI92" i="1"/>
  <c r="CI91" i="1"/>
  <c r="CI90" i="1"/>
  <c r="CI89" i="1"/>
  <c r="CI88" i="1"/>
  <c r="CI87" i="1"/>
  <c r="CI86" i="1"/>
  <c r="CI85" i="1"/>
  <c r="CI84" i="1"/>
  <c r="CI83" i="1"/>
  <c r="CI82" i="1"/>
  <c r="CI81" i="1"/>
  <c r="CI80" i="1"/>
  <c r="CI79" i="1"/>
  <c r="CI78" i="1"/>
  <c r="CI77" i="1"/>
  <c r="CI76" i="1"/>
  <c r="CI75" i="1"/>
  <c r="CI74" i="1"/>
  <c r="CI73" i="1"/>
  <c r="CI72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8" i="1"/>
  <c r="CI7" i="1"/>
  <c r="CI6" i="1"/>
  <c r="CI5" i="1"/>
  <c r="BE256" i="1"/>
  <c r="AR256" i="1"/>
  <c r="BE257" i="1"/>
  <c r="AR257" i="1"/>
  <c r="H255" i="7"/>
  <c r="H254" i="7"/>
  <c r="L251" i="7"/>
  <c r="L250" i="7"/>
  <c r="K253" i="7"/>
  <c r="J253" i="7"/>
  <c r="I250" i="7"/>
  <c r="I251" i="7" s="1"/>
  <c r="I249" i="7"/>
  <c r="H253" i="7"/>
  <c r="H252" i="7"/>
  <c r="H251" i="7"/>
  <c r="AR255" i="1"/>
  <c r="AR254" i="1"/>
  <c r="AR253" i="1"/>
  <c r="AR252" i="1"/>
  <c r="H250" i="7"/>
  <c r="AR251" i="1"/>
  <c r="AR250" i="1"/>
  <c r="AR249" i="1"/>
  <c r="H249" i="7"/>
  <c r="H248" i="7"/>
  <c r="H247" i="7"/>
  <c r="H246" i="7"/>
  <c r="AR248" i="1"/>
  <c r="CE5" i="1"/>
  <c r="K59" i="1" l="1"/>
  <c r="Q58" i="1"/>
  <c r="BE262" i="1"/>
  <c r="BE253" i="1"/>
  <c r="BE258" i="1"/>
  <c r="BE261" i="1"/>
  <c r="L253" i="7"/>
  <c r="BE255" i="1" s="1"/>
  <c r="BE254" i="1"/>
  <c r="I252" i="7"/>
  <c r="AR247" i="1"/>
  <c r="AR246" i="1"/>
  <c r="H245" i="7"/>
  <c r="H244" i="7"/>
  <c r="BE245" i="1" s="1"/>
  <c r="H243" i="7"/>
  <c r="BE247" i="1" s="1"/>
  <c r="AR245" i="1"/>
  <c r="BE242" i="1"/>
  <c r="BE241" i="1"/>
  <c r="BE240" i="1"/>
  <c r="BE239" i="1"/>
  <c r="BE238" i="1"/>
  <c r="BE237" i="1"/>
  <c r="BE236" i="1"/>
  <c r="BE235" i="1"/>
  <c r="BE234" i="1"/>
  <c r="BE233" i="1"/>
  <c r="BE232" i="1"/>
  <c r="BE231" i="1"/>
  <c r="BE230" i="1"/>
  <c r="BE229" i="1"/>
  <c r="BE228" i="1"/>
  <c r="BE227" i="1"/>
  <c r="BE226" i="1"/>
  <c r="BE225" i="1"/>
  <c r="BE224" i="1"/>
  <c r="BE223" i="1"/>
  <c r="BE222" i="1"/>
  <c r="BE221" i="1"/>
  <c r="BE220" i="1"/>
  <c r="BE219" i="1"/>
  <c r="BE218" i="1"/>
  <c r="BE217" i="1"/>
  <c r="BE216" i="1"/>
  <c r="BE215" i="1"/>
  <c r="BE214" i="1"/>
  <c r="BE213" i="1"/>
  <c r="BE212" i="1"/>
  <c r="BE211" i="1"/>
  <c r="BE210" i="1"/>
  <c r="BE209" i="1"/>
  <c r="BE208" i="1"/>
  <c r="BE207" i="1"/>
  <c r="BE206" i="1"/>
  <c r="BE205" i="1"/>
  <c r="BE204" i="1"/>
  <c r="BE203" i="1"/>
  <c r="BE202" i="1"/>
  <c r="BE201" i="1"/>
  <c r="BE200" i="1"/>
  <c r="BE199" i="1"/>
  <c r="BE198" i="1"/>
  <c r="BE197" i="1"/>
  <c r="BE196" i="1"/>
  <c r="BE195" i="1"/>
  <c r="BE194" i="1"/>
  <c r="BE193" i="1"/>
  <c r="BE192" i="1"/>
  <c r="BE191" i="1"/>
  <c r="BE190" i="1"/>
  <c r="BE189" i="1"/>
  <c r="BE188" i="1"/>
  <c r="BE187" i="1"/>
  <c r="BE186" i="1"/>
  <c r="BE185" i="1"/>
  <c r="BE184" i="1"/>
  <c r="BE183" i="1"/>
  <c r="BE182" i="1"/>
  <c r="BE181" i="1"/>
  <c r="BE180" i="1"/>
  <c r="BE179" i="1"/>
  <c r="BE178" i="1"/>
  <c r="BE177" i="1"/>
  <c r="BE176" i="1"/>
  <c r="BE175" i="1"/>
  <c r="BE174" i="1"/>
  <c r="BE173" i="1"/>
  <c r="BE172" i="1"/>
  <c r="BE171" i="1"/>
  <c r="BE170" i="1"/>
  <c r="BE169" i="1"/>
  <c r="BE168" i="1"/>
  <c r="BE167" i="1"/>
  <c r="BE166" i="1"/>
  <c r="BE165" i="1"/>
  <c r="BE164" i="1"/>
  <c r="BE163" i="1"/>
  <c r="BE162" i="1"/>
  <c r="BE161" i="1"/>
  <c r="BE160" i="1"/>
  <c r="BE159" i="1"/>
  <c r="BE158" i="1"/>
  <c r="BE157" i="1"/>
  <c r="BE156" i="1"/>
  <c r="BE155" i="1"/>
  <c r="BE154" i="1"/>
  <c r="BE153" i="1"/>
  <c r="BE152" i="1"/>
  <c r="BE151" i="1"/>
  <c r="BE150" i="1"/>
  <c r="BE149" i="1"/>
  <c r="BE148" i="1"/>
  <c r="BE147" i="1"/>
  <c r="BE146" i="1"/>
  <c r="BE145" i="1"/>
  <c r="BE144" i="1"/>
  <c r="BE143" i="1"/>
  <c r="BE142" i="1"/>
  <c r="BE141" i="1"/>
  <c r="BE140" i="1"/>
  <c r="BE139" i="1"/>
  <c r="BE138" i="1"/>
  <c r="BE137" i="1"/>
  <c r="BE136" i="1"/>
  <c r="BE135" i="1"/>
  <c r="BE134" i="1"/>
  <c r="BE133" i="1"/>
  <c r="BE132" i="1"/>
  <c r="BE131" i="1"/>
  <c r="BE130" i="1"/>
  <c r="BE129" i="1"/>
  <c r="BE128" i="1"/>
  <c r="BE127" i="1"/>
  <c r="BE126" i="1"/>
  <c r="BE125" i="1"/>
  <c r="BE124" i="1"/>
  <c r="BE123" i="1"/>
  <c r="BE122" i="1"/>
  <c r="BE121" i="1"/>
  <c r="BE120" i="1"/>
  <c r="BE119" i="1"/>
  <c r="BE118" i="1"/>
  <c r="BE117" i="1"/>
  <c r="BE116" i="1"/>
  <c r="BE115" i="1"/>
  <c r="BE114" i="1"/>
  <c r="BE113" i="1"/>
  <c r="BE112" i="1"/>
  <c r="BE111" i="1"/>
  <c r="BE110" i="1"/>
  <c r="BE109" i="1"/>
  <c r="BE108" i="1"/>
  <c r="BE107" i="1"/>
  <c r="BE106" i="1"/>
  <c r="BE105" i="1"/>
  <c r="BE104" i="1"/>
  <c r="BE103" i="1"/>
  <c r="BE102" i="1"/>
  <c r="BE101" i="1"/>
  <c r="BE100" i="1"/>
  <c r="BE99" i="1"/>
  <c r="BE98" i="1"/>
  <c r="BE97" i="1"/>
  <c r="BE96" i="1"/>
  <c r="BE95" i="1"/>
  <c r="BE94" i="1"/>
  <c r="BE93" i="1"/>
  <c r="BE92" i="1"/>
  <c r="BE91" i="1"/>
  <c r="BE90" i="1"/>
  <c r="BE89" i="1"/>
  <c r="BE88" i="1"/>
  <c r="BE87" i="1"/>
  <c r="BE86" i="1"/>
  <c r="BE85" i="1"/>
  <c r="BE84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E7" i="1"/>
  <c r="BE6" i="1"/>
  <c r="BE5" i="1"/>
  <c r="H242" i="7"/>
  <c r="BE244" i="1" s="1"/>
  <c r="AR244" i="1"/>
  <c r="AR243" i="1"/>
  <c r="AR242" i="1"/>
  <c r="K60" i="1" l="1"/>
  <c r="Q59" i="1"/>
  <c r="I253" i="7"/>
  <c r="BE243" i="1"/>
  <c r="BE246" i="1"/>
  <c r="BE252" i="1"/>
  <c r="BE251" i="1"/>
  <c r="BE250" i="1"/>
  <c r="BE249" i="1"/>
  <c r="BE248" i="1"/>
  <c r="BZ5" i="1"/>
  <c r="BY5" i="1"/>
  <c r="BN5" i="1"/>
  <c r="BM5" i="1"/>
  <c r="AR241" i="1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J97" i="7"/>
  <c r="J98" i="7" s="1"/>
  <c r="J99" i="7" s="1"/>
  <c r="J100" i="7" s="1"/>
  <c r="J101" i="7" s="1"/>
  <c r="J103" i="7" s="1"/>
  <c r="J104" i="7" s="1"/>
  <c r="J107" i="7" s="1"/>
  <c r="J108" i="7" s="1"/>
  <c r="J110" i="7" s="1"/>
  <c r="J111" i="7" s="1"/>
  <c r="J112" i="7" s="1"/>
  <c r="J113" i="7" s="1"/>
  <c r="J116" i="7" s="1"/>
  <c r="J118" i="7" s="1"/>
  <c r="J119" i="7" s="1"/>
  <c r="J120" i="7" s="1"/>
  <c r="J121" i="7" s="1"/>
  <c r="J122" i="7" s="1"/>
  <c r="J127" i="7" s="1"/>
  <c r="J129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6" i="7" s="1"/>
  <c r="J157" i="7" s="1"/>
  <c r="J158" i="7" s="1"/>
  <c r="J159" i="7" s="1"/>
  <c r="J161" i="7" s="1"/>
  <c r="J162" i="7" s="1"/>
  <c r="J163" i="7" s="1"/>
  <c r="J164" i="7" s="1"/>
  <c r="J165" i="7" s="1"/>
  <c r="J166" i="7" s="1"/>
  <c r="J167" i="7" s="1"/>
  <c r="J168" i="7" s="1"/>
  <c r="J170" i="7" s="1"/>
  <c r="J171" i="7" s="1"/>
  <c r="J172" i="7" s="1"/>
  <c r="J174" i="7" s="1"/>
  <c r="J175" i="7" s="1"/>
  <c r="J176" i="7" s="1"/>
  <c r="J179" i="7" s="1"/>
  <c r="J180" i="7" s="1"/>
  <c r="J181" i="7" s="1"/>
  <c r="J182" i="7" s="1"/>
  <c r="J183" i="7" s="1"/>
  <c r="J184" i="7" s="1"/>
  <c r="J185" i="7" s="1"/>
  <c r="J186" i="7" s="1"/>
  <c r="J187" i="7" s="1"/>
  <c r="J188" i="7" s="1"/>
  <c r="J189" i="7" s="1"/>
  <c r="J190" i="7" s="1"/>
  <c r="J191" i="7" s="1"/>
  <c r="J192" i="7" s="1"/>
  <c r="J193" i="7" s="1"/>
  <c r="J194" i="7" s="1"/>
  <c r="J195" i="7" s="1"/>
  <c r="J196" i="7" s="1"/>
  <c r="J197" i="7" s="1"/>
  <c r="J198" i="7" s="1"/>
  <c r="J199" i="7" s="1"/>
  <c r="J200" i="7" s="1"/>
  <c r="J201" i="7" s="1"/>
  <c r="J202" i="7" s="1"/>
  <c r="J203" i="7" s="1"/>
  <c r="J204" i="7" s="1"/>
  <c r="J205" i="7" s="1"/>
  <c r="J206" i="7" s="1"/>
  <c r="J207" i="7" s="1"/>
  <c r="J208" i="7" s="1"/>
  <c r="J209" i="7" s="1"/>
  <c r="J210" i="7" s="1"/>
  <c r="J211" i="7" s="1"/>
  <c r="J212" i="7" s="1"/>
  <c r="J213" i="7" s="1"/>
  <c r="J214" i="7" s="1"/>
  <c r="J216" i="7" s="1"/>
  <c r="J217" i="7" s="1"/>
  <c r="J218" i="7" s="1"/>
  <c r="J219" i="7" s="1"/>
  <c r="J220" i="7" s="1"/>
  <c r="J221" i="7" s="1"/>
  <c r="J222" i="7" s="1"/>
  <c r="J224" i="7" s="1"/>
  <c r="J226" i="7" s="1"/>
  <c r="J227" i="7" s="1"/>
  <c r="J228" i="7" s="1"/>
  <c r="J230" i="7" s="1"/>
  <c r="J231" i="7" s="1"/>
  <c r="J232" i="7" s="1"/>
  <c r="J233" i="7" s="1"/>
  <c r="J234" i="7" s="1"/>
  <c r="J235" i="7" s="1"/>
  <c r="J236" i="7" s="1"/>
  <c r="J237" i="7" s="1"/>
  <c r="J238" i="7" s="1"/>
  <c r="J239" i="7" s="1"/>
  <c r="J240" i="7" s="1"/>
  <c r="J241" i="7" s="1"/>
  <c r="J242" i="7" s="1"/>
  <c r="J243" i="7" s="1"/>
  <c r="J244" i="7" s="1"/>
  <c r="J245" i="7" s="1"/>
  <c r="J246" i="7" s="1"/>
  <c r="J247" i="7" s="1"/>
  <c r="J95" i="7"/>
  <c r="K96" i="7"/>
  <c r="K97" i="7" s="1"/>
  <c r="K98" i="7" s="1"/>
  <c r="K100" i="7"/>
  <c r="K101" i="7" s="1"/>
  <c r="K102" i="7" s="1"/>
  <c r="K103" i="7" s="1"/>
  <c r="K105" i="7"/>
  <c r="K106" i="7" s="1"/>
  <c r="K108" i="7"/>
  <c r="K109" i="7"/>
  <c r="K110" i="7" s="1"/>
  <c r="K111" i="7" s="1"/>
  <c r="K112" i="7" s="1"/>
  <c r="K113" i="7" s="1"/>
  <c r="K114" i="7" s="1"/>
  <c r="K115" i="7" s="1"/>
  <c r="K116" i="7" s="1"/>
  <c r="K117" i="7" s="1"/>
  <c r="K118" i="7" s="1"/>
  <c r="K119" i="7" s="1"/>
  <c r="K120" i="7" s="1"/>
  <c r="K123" i="7"/>
  <c r="K124" i="7" s="1"/>
  <c r="K125" i="7" s="1"/>
  <c r="K126" i="7" s="1"/>
  <c r="K127" i="7" s="1"/>
  <c r="K128" i="7" s="1"/>
  <c r="K129" i="7" s="1"/>
  <c r="K130" i="7" s="1"/>
  <c r="K132" i="7" s="1"/>
  <c r="K134" i="7" s="1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2" i="7" s="1"/>
  <c r="K173" i="7" s="1"/>
  <c r="K174" i="7" s="1"/>
  <c r="K175" i="7" s="1"/>
  <c r="K176" i="7" s="1"/>
  <c r="K177" i="7" s="1"/>
  <c r="K179" i="7" s="1"/>
  <c r="K181" i="7" s="1"/>
  <c r="K182" i="7" s="1"/>
  <c r="K183" i="7" s="1"/>
  <c r="K185" i="7" s="1"/>
  <c r="K187" i="7" s="1"/>
  <c r="K188" i="7" s="1"/>
  <c r="K190" i="7" s="1"/>
  <c r="K191" i="7" s="1"/>
  <c r="K192" i="7" s="1"/>
  <c r="K193" i="7" s="1"/>
  <c r="K196" i="7" s="1"/>
  <c r="K199" i="7" s="1"/>
  <c r="K200" i="7" s="1"/>
  <c r="K201" i="7" s="1"/>
  <c r="K202" i="7" s="1"/>
  <c r="K203" i="7" s="1"/>
  <c r="K204" i="7" s="1"/>
  <c r="K207" i="7" s="1"/>
  <c r="K208" i="7" s="1"/>
  <c r="K210" i="7" s="1"/>
  <c r="K211" i="7" s="1"/>
  <c r="K216" i="7" s="1"/>
  <c r="K218" i="7" s="1"/>
  <c r="K219" i="7" s="1"/>
  <c r="K225" i="7" s="1"/>
  <c r="K227" i="7" s="1"/>
  <c r="K228" i="7" s="1"/>
  <c r="K229" i="7" s="1"/>
  <c r="K230" i="7" s="1"/>
  <c r="K231" i="7" s="1"/>
  <c r="K232" i="7" s="1"/>
  <c r="K233" i="7" s="1"/>
  <c r="K234" i="7" s="1"/>
  <c r="K235" i="7" s="1"/>
  <c r="K237" i="7" s="1"/>
  <c r="K238" i="7" s="1"/>
  <c r="K239" i="7" s="1"/>
  <c r="K240" i="7" s="1"/>
  <c r="K241" i="7" s="1"/>
  <c r="K242" i="7" s="1"/>
  <c r="K243" i="7" s="1"/>
  <c r="I229" i="7"/>
  <c r="I230" i="7" s="1"/>
  <c r="I231" i="7" s="1"/>
  <c r="I232" i="7" s="1"/>
  <c r="I233" i="7" s="1"/>
  <c r="I234" i="7" s="1"/>
  <c r="I235" i="7" s="1"/>
  <c r="I236" i="7" s="1"/>
  <c r="I237" i="7" s="1"/>
  <c r="I238" i="7" s="1"/>
  <c r="I239" i="7" s="1"/>
  <c r="I240" i="7" s="1"/>
  <c r="I241" i="7" s="1"/>
  <c r="I242" i="7" s="1"/>
  <c r="I243" i="7" s="1"/>
  <c r="I244" i="7" s="1"/>
  <c r="I245" i="7" s="1"/>
  <c r="I246" i="7" s="1"/>
  <c r="I247" i="7" s="1"/>
  <c r="I248" i="7" s="1"/>
  <c r="I223" i="7"/>
  <c r="I224" i="7"/>
  <c r="I225" i="7"/>
  <c r="I226" i="7" s="1"/>
  <c r="I227" i="7" s="1"/>
  <c r="I218" i="7"/>
  <c r="I219" i="7" s="1"/>
  <c r="I220" i="7" s="1"/>
  <c r="I221" i="7" s="1"/>
  <c r="I216" i="7"/>
  <c r="AR240" i="1"/>
  <c r="AR239" i="1"/>
  <c r="AR238" i="1"/>
  <c r="Y5" i="1"/>
  <c r="T5" i="1"/>
  <c r="BA5" i="1"/>
  <c r="AU5" i="1"/>
  <c r="AT5" i="1"/>
  <c r="AR237" i="1"/>
  <c r="AR236" i="1"/>
  <c r="AR235" i="1"/>
  <c r="AR234" i="1"/>
  <c r="AR23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23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M5" i="1"/>
  <c r="AZ5" i="1"/>
  <c r="AH5" i="1"/>
  <c r="BL6" i="1" l="1"/>
  <c r="K61" i="1"/>
  <c r="Q60" i="1"/>
  <c r="BQ264" i="1"/>
  <c r="BQ265" i="1"/>
  <c r="BQ263" i="1"/>
  <c r="BQ267" i="1"/>
  <c r="BQ266" i="1"/>
  <c r="BQ262" i="1"/>
  <c r="BB4" i="1"/>
  <c r="AE4" i="1"/>
  <c r="BQ253" i="1"/>
  <c r="BQ259" i="1"/>
  <c r="BQ256" i="1"/>
  <c r="BQ258" i="1"/>
  <c r="BQ257" i="1"/>
  <c r="BQ261" i="1"/>
  <c r="BQ260" i="1"/>
  <c r="BQ255" i="1"/>
  <c r="BQ254" i="1"/>
  <c r="BQ251" i="1"/>
  <c r="BQ252" i="1"/>
  <c r="BQ249" i="1"/>
  <c r="BQ250" i="1"/>
  <c r="BQ244" i="1"/>
  <c r="BQ248" i="1"/>
  <c r="BQ246" i="1"/>
  <c r="BQ247" i="1"/>
  <c r="BQ245" i="1"/>
  <c r="BQ226" i="1"/>
  <c r="BQ228" i="1"/>
  <c r="BQ243" i="1"/>
  <c r="BQ227" i="1"/>
  <c r="BQ219" i="1"/>
  <c r="BQ211" i="1"/>
  <c r="BQ203" i="1"/>
  <c r="BQ195" i="1"/>
  <c r="BQ187" i="1"/>
  <c r="BQ179" i="1"/>
  <c r="BQ171" i="1"/>
  <c r="BQ163" i="1"/>
  <c r="BQ155" i="1"/>
  <c r="BQ147" i="1"/>
  <c r="BQ139" i="1"/>
  <c r="BQ131" i="1"/>
  <c r="BQ123" i="1"/>
  <c r="BQ115" i="1"/>
  <c r="BQ107" i="1"/>
  <c r="BQ99" i="1"/>
  <c r="BQ91" i="1"/>
  <c r="BQ83" i="1"/>
  <c r="BQ75" i="1"/>
  <c r="BQ67" i="1"/>
  <c r="BQ59" i="1"/>
  <c r="BQ51" i="1"/>
  <c r="BQ43" i="1"/>
  <c r="BQ35" i="1"/>
  <c r="BQ27" i="1"/>
  <c r="BQ19" i="1"/>
  <c r="BQ11" i="1"/>
  <c r="BQ216" i="1"/>
  <c r="BQ208" i="1"/>
  <c r="BQ200" i="1"/>
  <c r="BQ192" i="1"/>
  <c r="BQ184" i="1"/>
  <c r="BQ176" i="1"/>
  <c r="BQ160" i="1"/>
  <c r="BQ144" i="1"/>
  <c r="BQ136" i="1"/>
  <c r="BQ112" i="1"/>
  <c r="BQ104" i="1"/>
  <c r="BQ80" i="1"/>
  <c r="BQ56" i="1"/>
  <c r="BQ32" i="1"/>
  <c r="BQ8" i="1"/>
  <c r="BQ223" i="1"/>
  <c r="BQ207" i="1"/>
  <c r="BQ199" i="1"/>
  <c r="BQ191" i="1"/>
  <c r="BQ183" i="1"/>
  <c r="BQ167" i="1"/>
  <c r="BQ151" i="1"/>
  <c r="BQ127" i="1"/>
  <c r="BQ103" i="1"/>
  <c r="BQ79" i="1"/>
  <c r="BQ55" i="1"/>
  <c r="BQ31" i="1"/>
  <c r="BQ7" i="1"/>
  <c r="BQ242" i="1"/>
  <c r="BQ218" i="1"/>
  <c r="BQ210" i="1"/>
  <c r="BQ202" i="1"/>
  <c r="BQ194" i="1"/>
  <c r="BQ186" i="1"/>
  <c r="BQ178" i="1"/>
  <c r="BQ170" i="1"/>
  <c r="BQ162" i="1"/>
  <c r="BQ154" i="1"/>
  <c r="BQ146" i="1"/>
  <c r="BQ138" i="1"/>
  <c r="BQ130" i="1"/>
  <c r="BQ122" i="1"/>
  <c r="BQ114" i="1"/>
  <c r="BQ106" i="1"/>
  <c r="BQ98" i="1"/>
  <c r="BQ90" i="1"/>
  <c r="BQ82" i="1"/>
  <c r="BQ74" i="1"/>
  <c r="BQ66" i="1"/>
  <c r="BQ58" i="1"/>
  <c r="BQ50" i="1"/>
  <c r="BQ42" i="1"/>
  <c r="BQ34" i="1"/>
  <c r="BQ26" i="1"/>
  <c r="BQ18" i="1"/>
  <c r="BQ10" i="1"/>
  <c r="BQ224" i="1"/>
  <c r="BQ152" i="1"/>
  <c r="BQ120" i="1"/>
  <c r="BQ88" i="1"/>
  <c r="BQ64" i="1"/>
  <c r="BQ40" i="1"/>
  <c r="BQ16" i="1"/>
  <c r="BQ215" i="1"/>
  <c r="BQ159" i="1"/>
  <c r="BQ135" i="1"/>
  <c r="BQ111" i="1"/>
  <c r="BQ95" i="1"/>
  <c r="BQ71" i="1"/>
  <c r="BQ47" i="1"/>
  <c r="BQ15" i="1"/>
  <c r="BQ190" i="1"/>
  <c r="BQ166" i="1"/>
  <c r="BQ150" i="1"/>
  <c r="BQ134" i="1"/>
  <c r="BQ118" i="1"/>
  <c r="BQ102" i="1"/>
  <c r="BQ86" i="1"/>
  <c r="BQ70" i="1"/>
  <c r="BQ54" i="1"/>
  <c r="BQ38" i="1"/>
  <c r="BQ22" i="1"/>
  <c r="BQ14" i="1"/>
  <c r="BQ132" i="1"/>
  <c r="BQ84" i="1"/>
  <c r="BQ52" i="1"/>
  <c r="BQ12" i="1"/>
  <c r="BQ225" i="1"/>
  <c r="BQ217" i="1"/>
  <c r="BQ209" i="1"/>
  <c r="BQ201" i="1"/>
  <c r="BQ193" i="1"/>
  <c r="BQ185" i="1"/>
  <c r="BQ177" i="1"/>
  <c r="BQ169" i="1"/>
  <c r="BQ161" i="1"/>
  <c r="BQ153" i="1"/>
  <c r="BQ145" i="1"/>
  <c r="BQ137" i="1"/>
  <c r="BQ129" i="1"/>
  <c r="BQ121" i="1"/>
  <c r="BQ113" i="1"/>
  <c r="BQ105" i="1"/>
  <c r="BQ97" i="1"/>
  <c r="BQ89" i="1"/>
  <c r="BQ81" i="1"/>
  <c r="BQ73" i="1"/>
  <c r="BQ65" i="1"/>
  <c r="BQ57" i="1"/>
  <c r="BQ49" i="1"/>
  <c r="BQ41" i="1"/>
  <c r="BQ33" i="1"/>
  <c r="BQ25" i="1"/>
  <c r="BQ17" i="1"/>
  <c r="BQ9" i="1"/>
  <c r="BQ168" i="1"/>
  <c r="BQ128" i="1"/>
  <c r="BQ96" i="1"/>
  <c r="BQ72" i="1"/>
  <c r="BQ48" i="1"/>
  <c r="BQ24" i="1"/>
  <c r="BQ175" i="1"/>
  <c r="BQ143" i="1"/>
  <c r="BQ119" i="1"/>
  <c r="BQ87" i="1"/>
  <c r="BQ63" i="1"/>
  <c r="BQ39" i="1"/>
  <c r="BQ23" i="1"/>
  <c r="BQ222" i="1"/>
  <c r="BQ214" i="1"/>
  <c r="BQ206" i="1"/>
  <c r="BQ198" i="1"/>
  <c r="BQ182" i="1"/>
  <c r="BQ174" i="1"/>
  <c r="BQ158" i="1"/>
  <c r="BQ142" i="1"/>
  <c r="BQ126" i="1"/>
  <c r="BQ110" i="1"/>
  <c r="BQ94" i="1"/>
  <c r="BQ78" i="1"/>
  <c r="BQ62" i="1"/>
  <c r="BQ46" i="1"/>
  <c r="BQ30" i="1"/>
  <c r="BQ6" i="1"/>
  <c r="BQ220" i="1"/>
  <c r="BQ204" i="1"/>
  <c r="BQ196" i="1"/>
  <c r="BQ180" i="1"/>
  <c r="BQ164" i="1"/>
  <c r="BQ148" i="1"/>
  <c r="BQ124" i="1"/>
  <c r="BQ116" i="1"/>
  <c r="BQ108" i="1"/>
  <c r="BQ92" i="1"/>
  <c r="BQ76" i="1"/>
  <c r="BQ60" i="1"/>
  <c r="BQ36" i="1"/>
  <c r="BQ20" i="1"/>
  <c r="BQ221" i="1"/>
  <c r="BQ213" i="1"/>
  <c r="BQ205" i="1"/>
  <c r="BQ197" i="1"/>
  <c r="BQ189" i="1"/>
  <c r="BQ181" i="1"/>
  <c r="BQ173" i="1"/>
  <c r="BQ165" i="1"/>
  <c r="BQ157" i="1"/>
  <c r="BQ149" i="1"/>
  <c r="BQ141" i="1"/>
  <c r="BQ133" i="1"/>
  <c r="BQ125" i="1"/>
  <c r="BQ117" i="1"/>
  <c r="BQ109" i="1"/>
  <c r="BQ101" i="1"/>
  <c r="BQ93" i="1"/>
  <c r="BQ85" i="1"/>
  <c r="BQ77" i="1"/>
  <c r="BQ69" i="1"/>
  <c r="BQ61" i="1"/>
  <c r="BQ53" i="1"/>
  <c r="BQ45" i="1"/>
  <c r="BQ37" i="1"/>
  <c r="BQ29" i="1"/>
  <c r="BQ21" i="1"/>
  <c r="BQ13" i="1"/>
  <c r="BQ212" i="1"/>
  <c r="BQ188" i="1"/>
  <c r="BQ172" i="1"/>
  <c r="BQ156" i="1"/>
  <c r="BQ140" i="1"/>
  <c r="BQ100" i="1"/>
  <c r="BQ68" i="1"/>
  <c r="BQ44" i="1"/>
  <c r="BQ28" i="1"/>
  <c r="C7" i="1"/>
  <c r="D7" i="1" s="1"/>
  <c r="AZ4" i="1"/>
  <c r="AT4" i="1"/>
  <c r="AJ4" i="1"/>
  <c r="AY4" i="1"/>
  <c r="Y4" i="1"/>
  <c r="AV4" i="1"/>
  <c r="AH4" i="1"/>
  <c r="BA4" i="1"/>
  <c r="AA4" i="1"/>
  <c r="AI4" i="1"/>
  <c r="AU4" i="1"/>
  <c r="W4" i="1"/>
  <c r="AG4" i="1"/>
  <c r="AS4" i="1"/>
  <c r="D4" i="1"/>
  <c r="E4" i="1" s="1"/>
  <c r="X4" i="1"/>
  <c r="N4" i="1"/>
  <c r="Z4" i="1"/>
  <c r="BO5" i="1"/>
  <c r="P6" i="1"/>
  <c r="BB5" i="1"/>
  <c r="AI5" i="1"/>
  <c r="AN5" i="1"/>
  <c r="AV5" i="1"/>
  <c r="AA5" i="1"/>
  <c r="N6" i="1" l="1"/>
  <c r="Z6" i="1"/>
  <c r="AB7" i="1"/>
  <c r="U6" i="1"/>
  <c r="K62" i="1"/>
  <c r="Q61" i="1"/>
  <c r="AY5" i="1"/>
  <c r="AS5" i="1"/>
  <c r="AG6" i="1"/>
  <c r="AL6" i="1"/>
  <c r="P7" i="1"/>
  <c r="P8" i="1" s="1"/>
  <c r="C267" i="1"/>
  <c r="D267" i="1" s="1"/>
  <c r="C266" i="1"/>
  <c r="D266" i="1" s="1"/>
  <c r="L265" i="1"/>
  <c r="M265" i="1" s="1"/>
  <c r="C265" i="1"/>
  <c r="D265" i="1" s="1"/>
  <c r="C264" i="1"/>
  <c r="D264" i="1" s="1"/>
  <c r="C262" i="1"/>
  <c r="D262" i="1" s="1"/>
  <c r="L267" i="1"/>
  <c r="M267" i="1" s="1"/>
  <c r="L266" i="1"/>
  <c r="M266" i="1" s="1"/>
  <c r="L264" i="1"/>
  <c r="M264" i="1" s="1"/>
  <c r="C263" i="1"/>
  <c r="D263" i="1" s="1"/>
  <c r="L262" i="1"/>
  <c r="M262" i="1" s="1"/>
  <c r="L263" i="1"/>
  <c r="M263" i="1" s="1"/>
  <c r="AJ5" i="1"/>
  <c r="L261" i="1"/>
  <c r="M261" i="1" s="1"/>
  <c r="L258" i="1"/>
  <c r="M258" i="1" s="1"/>
  <c r="L257" i="1"/>
  <c r="M257" i="1" s="1"/>
  <c r="L256" i="1"/>
  <c r="M256" i="1" s="1"/>
  <c r="C257" i="1"/>
  <c r="D257" i="1" s="1"/>
  <c r="C259" i="1"/>
  <c r="D259" i="1" s="1"/>
  <c r="C261" i="1"/>
  <c r="D261" i="1" s="1"/>
  <c r="L259" i="1"/>
  <c r="M259" i="1" s="1"/>
  <c r="C258" i="1"/>
  <c r="D258" i="1" s="1"/>
  <c r="L260" i="1"/>
  <c r="M260" i="1" s="1"/>
  <c r="C260" i="1"/>
  <c r="D260" i="1" s="1"/>
  <c r="C256" i="1"/>
  <c r="D256" i="1" s="1"/>
  <c r="C255" i="1"/>
  <c r="D255" i="1" s="1"/>
  <c r="C253" i="1"/>
  <c r="D253" i="1" s="1"/>
  <c r="C254" i="1"/>
  <c r="D254" i="1" s="1"/>
  <c r="L253" i="1"/>
  <c r="M253" i="1" s="1"/>
  <c r="L254" i="1"/>
  <c r="M254" i="1" s="1"/>
  <c r="L255" i="1"/>
  <c r="M255" i="1" s="1"/>
  <c r="C250" i="1"/>
  <c r="D250" i="1" s="1"/>
  <c r="C252" i="1"/>
  <c r="D252" i="1" s="1"/>
  <c r="C251" i="1"/>
  <c r="D251" i="1" s="1"/>
  <c r="C248" i="1"/>
  <c r="D248" i="1" s="1"/>
  <c r="C249" i="1"/>
  <c r="D249" i="1" s="1"/>
  <c r="L252" i="1"/>
  <c r="M252" i="1" s="1"/>
  <c r="L251" i="1"/>
  <c r="M251" i="1" s="1"/>
  <c r="L249" i="1"/>
  <c r="M249" i="1" s="1"/>
  <c r="L250" i="1"/>
  <c r="M250" i="1" s="1"/>
  <c r="L248" i="1"/>
  <c r="M248" i="1" s="1"/>
  <c r="L245" i="1"/>
  <c r="M245" i="1" s="1"/>
  <c r="L247" i="1"/>
  <c r="M247" i="1" s="1"/>
  <c r="L246" i="1"/>
  <c r="M246" i="1" s="1"/>
  <c r="C245" i="1"/>
  <c r="D245" i="1" s="1"/>
  <c r="C247" i="1"/>
  <c r="D247" i="1" s="1"/>
  <c r="C246" i="1"/>
  <c r="D246" i="1" s="1"/>
  <c r="L244" i="1"/>
  <c r="M244" i="1" s="1"/>
  <c r="C244" i="1"/>
  <c r="D244" i="1" s="1"/>
  <c r="C67" i="1"/>
  <c r="D67" i="1" s="1"/>
  <c r="L243" i="1"/>
  <c r="M243" i="1" s="1"/>
  <c r="C243" i="1"/>
  <c r="D243" i="1" s="1"/>
  <c r="L73" i="1"/>
  <c r="M73" i="1" s="1"/>
  <c r="L184" i="1"/>
  <c r="M184" i="1" s="1"/>
  <c r="C61" i="1"/>
  <c r="D61" i="1" s="1"/>
  <c r="L57" i="1"/>
  <c r="M57" i="1" s="1"/>
  <c r="C162" i="1"/>
  <c r="D162" i="1" s="1"/>
  <c r="C89" i="1"/>
  <c r="D89" i="1" s="1"/>
  <c r="X89" i="1" s="1"/>
  <c r="L43" i="1"/>
  <c r="M43" i="1" s="1"/>
  <c r="L14" i="1"/>
  <c r="M14" i="1" s="1"/>
  <c r="C33" i="1"/>
  <c r="D33" i="1" s="1"/>
  <c r="L52" i="1"/>
  <c r="M52" i="1" s="1"/>
  <c r="L195" i="1"/>
  <c r="M195" i="1" s="1"/>
  <c r="C173" i="1"/>
  <c r="D173" i="1" s="1"/>
  <c r="X173" i="1" s="1"/>
  <c r="C135" i="1"/>
  <c r="D135" i="1" s="1"/>
  <c r="L17" i="1"/>
  <c r="M17" i="1" s="1"/>
  <c r="L58" i="1"/>
  <c r="M58" i="1" s="1"/>
  <c r="L69" i="1"/>
  <c r="M69" i="1" s="1"/>
  <c r="L42" i="1"/>
  <c r="M42" i="1" s="1"/>
  <c r="L136" i="1"/>
  <c r="M136" i="1" s="1"/>
  <c r="C84" i="1"/>
  <c r="D84" i="1" s="1"/>
  <c r="C222" i="1"/>
  <c r="D222" i="1" s="1"/>
  <c r="C223" i="1"/>
  <c r="D223" i="1" s="1"/>
  <c r="C240" i="1"/>
  <c r="D240" i="1" s="1"/>
  <c r="L104" i="1"/>
  <c r="M104" i="1" s="1"/>
  <c r="L93" i="1"/>
  <c r="M93" i="1" s="1"/>
  <c r="L106" i="1"/>
  <c r="M106" i="1" s="1"/>
  <c r="L19" i="1"/>
  <c r="M19" i="1" s="1"/>
  <c r="L27" i="1"/>
  <c r="M27" i="1" s="1"/>
  <c r="L47" i="1"/>
  <c r="M47" i="1" s="1"/>
  <c r="BQ229" i="1"/>
  <c r="L130" i="1"/>
  <c r="M130" i="1" s="1"/>
  <c r="C191" i="1"/>
  <c r="D191" i="1" s="1"/>
  <c r="C39" i="1"/>
  <c r="D39" i="1" s="1"/>
  <c r="C186" i="1"/>
  <c r="D186" i="1" s="1"/>
  <c r="L100" i="1"/>
  <c r="M100" i="1" s="1"/>
  <c r="C221" i="1"/>
  <c r="D221" i="1" s="1"/>
  <c r="C155" i="1"/>
  <c r="D155" i="1" s="1"/>
  <c r="C63" i="1"/>
  <c r="D63" i="1" s="1"/>
  <c r="L103" i="1"/>
  <c r="M103" i="1" s="1"/>
  <c r="L134" i="1"/>
  <c r="M134" i="1" s="1"/>
  <c r="C177" i="1"/>
  <c r="D177" i="1" s="1"/>
  <c r="C23" i="1"/>
  <c r="D23" i="1" s="1"/>
  <c r="C91" i="1"/>
  <c r="D91" i="1" s="1"/>
  <c r="C137" i="1"/>
  <c r="D137" i="1" s="1"/>
  <c r="X137" i="1" s="1"/>
  <c r="C238" i="1"/>
  <c r="D238" i="1" s="1"/>
  <c r="L87" i="1"/>
  <c r="M87" i="1" s="1"/>
  <c r="L166" i="1"/>
  <c r="M166" i="1" s="1"/>
  <c r="C153" i="1"/>
  <c r="D153" i="1" s="1"/>
  <c r="L82" i="1"/>
  <c r="M82" i="1" s="1"/>
  <c r="C81" i="1"/>
  <c r="D81" i="1" s="1"/>
  <c r="C118" i="1"/>
  <c r="D118" i="1" s="1"/>
  <c r="C102" i="1"/>
  <c r="D102" i="1" s="1"/>
  <c r="C218" i="1"/>
  <c r="D218" i="1" s="1"/>
  <c r="L71" i="1"/>
  <c r="M71" i="1" s="1"/>
  <c r="C44" i="1"/>
  <c r="D44" i="1" s="1"/>
  <c r="C192" i="1"/>
  <c r="D192" i="1" s="1"/>
  <c r="L24" i="1"/>
  <c r="M24" i="1" s="1"/>
  <c r="L238" i="1"/>
  <c r="M238" i="1" s="1"/>
  <c r="L56" i="1"/>
  <c r="M56" i="1" s="1"/>
  <c r="C14" i="1"/>
  <c r="D14" i="1" s="1"/>
  <c r="C150" i="1"/>
  <c r="D150" i="1" s="1"/>
  <c r="L34" i="1"/>
  <c r="M34" i="1" s="1"/>
  <c r="C130" i="1"/>
  <c r="D130" i="1" s="1"/>
  <c r="C41" i="1"/>
  <c r="D41" i="1" s="1"/>
  <c r="C34" i="1"/>
  <c r="D34" i="1" s="1"/>
  <c r="L32" i="1"/>
  <c r="M32" i="1" s="1"/>
  <c r="L29" i="1"/>
  <c r="M29" i="1" s="1"/>
  <c r="C203" i="1"/>
  <c r="D203" i="1" s="1"/>
  <c r="C5" i="1"/>
  <c r="D5" i="1" s="1"/>
  <c r="L158" i="1"/>
  <c r="M158" i="1" s="1"/>
  <c r="C16" i="1"/>
  <c r="D16" i="1" s="1"/>
  <c r="C216" i="1"/>
  <c r="D216" i="1" s="1"/>
  <c r="L202" i="1"/>
  <c r="M202" i="1" s="1"/>
  <c r="L36" i="1"/>
  <c r="M36" i="1" s="1"/>
  <c r="L9" i="1"/>
  <c r="M9" i="1" s="1"/>
  <c r="L46" i="1"/>
  <c r="M46" i="1" s="1"/>
  <c r="C184" i="1"/>
  <c r="D184" i="1" s="1"/>
  <c r="C112" i="1"/>
  <c r="D112" i="1" s="1"/>
  <c r="C194" i="1"/>
  <c r="D194" i="1" s="1"/>
  <c r="C190" i="1"/>
  <c r="D190" i="1" s="1"/>
  <c r="L194" i="1"/>
  <c r="M194" i="1" s="1"/>
  <c r="L168" i="1"/>
  <c r="M168" i="1" s="1"/>
  <c r="C76" i="1"/>
  <c r="D76" i="1" s="1"/>
  <c r="C152" i="1"/>
  <c r="D152" i="1" s="1"/>
  <c r="C201" i="1"/>
  <c r="D201" i="1" s="1"/>
  <c r="C202" i="1"/>
  <c r="D202" i="1" s="1"/>
  <c r="L15" i="1"/>
  <c r="M15" i="1" s="1"/>
  <c r="L186" i="1"/>
  <c r="M186" i="1" s="1"/>
  <c r="C88" i="1"/>
  <c r="D88" i="1" s="1"/>
  <c r="L192" i="1"/>
  <c r="M192" i="1" s="1"/>
  <c r="C71" i="1"/>
  <c r="D71" i="1" s="1"/>
  <c r="L122" i="1"/>
  <c r="M122" i="1" s="1"/>
  <c r="L144" i="1"/>
  <c r="M144" i="1" s="1"/>
  <c r="L90" i="1"/>
  <c r="M90" i="1" s="1"/>
  <c r="L224" i="1"/>
  <c r="M224" i="1" s="1"/>
  <c r="L162" i="1"/>
  <c r="M162" i="1" s="1"/>
  <c r="L26" i="1"/>
  <c r="M26" i="1" s="1"/>
  <c r="L160" i="1"/>
  <c r="M160" i="1" s="1"/>
  <c r="L10" i="1"/>
  <c r="M10" i="1" s="1"/>
  <c r="L66" i="1"/>
  <c r="M66" i="1" s="1"/>
  <c r="C232" i="1"/>
  <c r="D232" i="1" s="1"/>
  <c r="C54" i="1"/>
  <c r="D54" i="1" s="1"/>
  <c r="C29" i="1"/>
  <c r="D29" i="1" s="1"/>
  <c r="C115" i="1"/>
  <c r="D115" i="1" s="1"/>
  <c r="L215" i="1"/>
  <c r="M215" i="1" s="1"/>
  <c r="C156" i="1"/>
  <c r="D156" i="1" s="1"/>
  <c r="C185" i="1"/>
  <c r="D185" i="1" s="1"/>
  <c r="L219" i="1"/>
  <c r="M219" i="1" s="1"/>
  <c r="C62" i="1"/>
  <c r="D62" i="1" s="1"/>
  <c r="L127" i="1"/>
  <c r="M127" i="1" s="1"/>
  <c r="L110" i="1"/>
  <c r="M110" i="1" s="1"/>
  <c r="L198" i="1"/>
  <c r="M198" i="1" s="1"/>
  <c r="C230" i="1"/>
  <c r="D230" i="1" s="1"/>
  <c r="C36" i="1"/>
  <c r="D36" i="1" s="1"/>
  <c r="C188" i="1"/>
  <c r="D188" i="1" s="1"/>
  <c r="L234" i="1"/>
  <c r="M234" i="1" s="1"/>
  <c r="C126" i="1"/>
  <c r="D126" i="1" s="1"/>
  <c r="C122" i="1"/>
  <c r="D122" i="1" s="1"/>
  <c r="L218" i="1"/>
  <c r="M218" i="1" s="1"/>
  <c r="C32" i="1"/>
  <c r="D32" i="1" s="1"/>
  <c r="C73" i="1"/>
  <c r="D73" i="1" s="1"/>
  <c r="L75" i="1"/>
  <c r="M75" i="1" s="1"/>
  <c r="L189" i="1"/>
  <c r="M189" i="1" s="1"/>
  <c r="C57" i="1"/>
  <c r="D57" i="1" s="1"/>
  <c r="L154" i="1"/>
  <c r="M154" i="1" s="1"/>
  <c r="L170" i="1"/>
  <c r="M170" i="1" s="1"/>
  <c r="C182" i="1"/>
  <c r="D182" i="1" s="1"/>
  <c r="C210" i="1"/>
  <c r="D210" i="1" s="1"/>
  <c r="C187" i="1"/>
  <c r="D187" i="1" s="1"/>
  <c r="C167" i="1"/>
  <c r="D167" i="1" s="1"/>
  <c r="C174" i="1"/>
  <c r="D174" i="1" s="1"/>
  <c r="C197" i="1"/>
  <c r="D197" i="1" s="1"/>
  <c r="L209" i="1"/>
  <c r="M209" i="1" s="1"/>
  <c r="L96" i="1"/>
  <c r="M96" i="1" s="1"/>
  <c r="C121" i="1"/>
  <c r="D121" i="1" s="1"/>
  <c r="C217" i="1"/>
  <c r="D217" i="1" s="1"/>
  <c r="C40" i="1"/>
  <c r="D40" i="1" s="1"/>
  <c r="L165" i="1"/>
  <c r="M165" i="1" s="1"/>
  <c r="L68" i="1"/>
  <c r="M68" i="1" s="1"/>
  <c r="L33" i="1"/>
  <c r="M33" i="1" s="1"/>
  <c r="C220" i="1"/>
  <c r="D220" i="1" s="1"/>
  <c r="L98" i="1"/>
  <c r="M98" i="1" s="1"/>
  <c r="C83" i="1"/>
  <c r="D83" i="1" s="1"/>
  <c r="C15" i="1"/>
  <c r="D15" i="1" s="1"/>
  <c r="C214" i="1"/>
  <c r="D214" i="1" s="1"/>
  <c r="C74" i="1"/>
  <c r="D74" i="1" s="1"/>
  <c r="L59" i="1"/>
  <c r="M59" i="1" s="1"/>
  <c r="C78" i="1"/>
  <c r="D78" i="1" s="1"/>
  <c r="X78" i="1" s="1"/>
  <c r="L77" i="1"/>
  <c r="M77" i="1" s="1"/>
  <c r="C146" i="1"/>
  <c r="D146" i="1" s="1"/>
  <c r="L138" i="1"/>
  <c r="M138" i="1" s="1"/>
  <c r="L16" i="1"/>
  <c r="M16" i="1" s="1"/>
  <c r="C196" i="1"/>
  <c r="D196" i="1" s="1"/>
  <c r="C204" i="1"/>
  <c r="D204" i="1" s="1"/>
  <c r="L176" i="1"/>
  <c r="M176" i="1" s="1"/>
  <c r="C108" i="1"/>
  <c r="D108" i="1" s="1"/>
  <c r="L112" i="1"/>
  <c r="M112" i="1" s="1"/>
  <c r="C87" i="1"/>
  <c r="D87" i="1" s="1"/>
  <c r="C236" i="1"/>
  <c r="D236" i="1" s="1"/>
  <c r="C113" i="1"/>
  <c r="D113" i="1" s="1"/>
  <c r="X113" i="1" s="1"/>
  <c r="C132" i="1"/>
  <c r="D132" i="1" s="1"/>
  <c r="C213" i="1"/>
  <c r="D213" i="1" s="1"/>
  <c r="C85" i="1"/>
  <c r="D85" i="1" s="1"/>
  <c r="C49" i="1"/>
  <c r="D49" i="1" s="1"/>
  <c r="C128" i="1"/>
  <c r="D128" i="1" s="1"/>
  <c r="C43" i="1"/>
  <c r="D43" i="1" s="1"/>
  <c r="C120" i="1"/>
  <c r="D120" i="1" s="1"/>
  <c r="C95" i="1"/>
  <c r="D95" i="1" s="1"/>
  <c r="C176" i="1"/>
  <c r="D176" i="1" s="1"/>
  <c r="L146" i="1"/>
  <c r="M146" i="1" s="1"/>
  <c r="L89" i="1"/>
  <c r="M89" i="1" s="1"/>
  <c r="L39" i="1"/>
  <c r="M39" i="1" s="1"/>
  <c r="L74" i="1"/>
  <c r="M74" i="1" s="1"/>
  <c r="C163" i="1"/>
  <c r="D163" i="1" s="1"/>
  <c r="C148" i="1"/>
  <c r="D148" i="1" s="1"/>
  <c r="L143" i="1"/>
  <c r="M143" i="1" s="1"/>
  <c r="L115" i="1"/>
  <c r="M115" i="1" s="1"/>
  <c r="C110" i="1"/>
  <c r="D110" i="1" s="1"/>
  <c r="L226" i="1"/>
  <c r="M226" i="1" s="1"/>
  <c r="L131" i="1"/>
  <c r="M131" i="1" s="1"/>
  <c r="L94" i="1"/>
  <c r="M94" i="1" s="1"/>
  <c r="C225" i="1"/>
  <c r="D225" i="1" s="1"/>
  <c r="L13" i="1"/>
  <c r="M13" i="1" s="1"/>
  <c r="C42" i="1"/>
  <c r="D42" i="1" s="1"/>
  <c r="C144" i="1"/>
  <c r="D144" i="1" s="1"/>
  <c r="C207" i="1"/>
  <c r="D207" i="1" s="1"/>
  <c r="L172" i="1"/>
  <c r="M172" i="1" s="1"/>
  <c r="C98" i="1"/>
  <c r="D98" i="1" s="1"/>
  <c r="L199" i="1"/>
  <c r="M199" i="1" s="1"/>
  <c r="C129" i="1"/>
  <c r="D129" i="1" s="1"/>
  <c r="L145" i="1"/>
  <c r="M145" i="1" s="1"/>
  <c r="L225" i="1"/>
  <c r="M225" i="1" s="1"/>
  <c r="C209" i="1"/>
  <c r="D209" i="1" s="1"/>
  <c r="C175" i="1"/>
  <c r="D175" i="1" s="1"/>
  <c r="C6" i="1"/>
  <c r="D6" i="1" s="1"/>
  <c r="L151" i="1"/>
  <c r="M151" i="1" s="1"/>
  <c r="C75" i="1"/>
  <c r="D75" i="1" s="1"/>
  <c r="X75" i="1" s="1"/>
  <c r="C171" i="1"/>
  <c r="D171" i="1" s="1"/>
  <c r="C237" i="1"/>
  <c r="D237" i="1" s="1"/>
  <c r="C48" i="1"/>
  <c r="D48" i="1" s="1"/>
  <c r="C11" i="1"/>
  <c r="D11" i="1" s="1"/>
  <c r="C125" i="1"/>
  <c r="D125" i="1" s="1"/>
  <c r="X125" i="1" s="1"/>
  <c r="L208" i="1"/>
  <c r="M208" i="1" s="1"/>
  <c r="L230" i="1"/>
  <c r="M230" i="1" s="1"/>
  <c r="L203" i="1"/>
  <c r="M203" i="1" s="1"/>
  <c r="L61" i="1"/>
  <c r="M61" i="1" s="1"/>
  <c r="C183" i="1"/>
  <c r="D183" i="1" s="1"/>
  <c r="C20" i="1"/>
  <c r="D20" i="1" s="1"/>
  <c r="C101" i="1"/>
  <c r="D101" i="1" s="1"/>
  <c r="X101" i="1" s="1"/>
  <c r="L5" i="1"/>
  <c r="M5" i="1" s="1"/>
  <c r="L205" i="1"/>
  <c r="M205" i="1" s="1"/>
  <c r="L79" i="1"/>
  <c r="M79" i="1" s="1"/>
  <c r="L38" i="1"/>
  <c r="M38" i="1" s="1"/>
  <c r="C86" i="1"/>
  <c r="D86" i="1" s="1"/>
  <c r="L197" i="1"/>
  <c r="M197" i="1" s="1"/>
  <c r="L113" i="1"/>
  <c r="M113" i="1" s="1"/>
  <c r="L64" i="1"/>
  <c r="M64" i="1" s="1"/>
  <c r="C56" i="1"/>
  <c r="D56" i="1" s="1"/>
  <c r="C159" i="1"/>
  <c r="D159" i="1" s="1"/>
  <c r="L120" i="1"/>
  <c r="M120" i="1" s="1"/>
  <c r="C17" i="1"/>
  <c r="D17" i="1" s="1"/>
  <c r="L81" i="1"/>
  <c r="M81" i="1" s="1"/>
  <c r="C24" i="1"/>
  <c r="D24" i="1" s="1"/>
  <c r="C127" i="1"/>
  <c r="D127" i="1" s="1"/>
  <c r="L153" i="1"/>
  <c r="M153" i="1" s="1"/>
  <c r="L48" i="1"/>
  <c r="M48" i="1" s="1"/>
  <c r="C145" i="1"/>
  <c r="D145" i="1" s="1"/>
  <c r="L169" i="1"/>
  <c r="M169" i="1" s="1"/>
  <c r="C111" i="1"/>
  <c r="D111" i="1" s="1"/>
  <c r="L7" i="1"/>
  <c r="M7" i="1" s="1"/>
  <c r="C178" i="1"/>
  <c r="D178" i="1" s="1"/>
  <c r="C235" i="1"/>
  <c r="D235" i="1" s="1"/>
  <c r="L62" i="1"/>
  <c r="M62" i="1" s="1"/>
  <c r="C160" i="1"/>
  <c r="D160" i="1" s="1"/>
  <c r="C131" i="1"/>
  <c r="D131" i="1" s="1"/>
  <c r="C189" i="1"/>
  <c r="D189" i="1" s="1"/>
  <c r="C72" i="1"/>
  <c r="D72" i="1" s="1"/>
  <c r="C46" i="1"/>
  <c r="D46" i="1" s="1"/>
  <c r="L211" i="1"/>
  <c r="M211" i="1" s="1"/>
  <c r="L125" i="1"/>
  <c r="M125" i="1" s="1"/>
  <c r="L40" i="1"/>
  <c r="M40" i="1" s="1"/>
  <c r="C8" i="1"/>
  <c r="D8" i="1" s="1"/>
  <c r="C154" i="1"/>
  <c r="D154" i="1" s="1"/>
  <c r="C19" i="1"/>
  <c r="D19" i="1" s="1"/>
  <c r="L155" i="1"/>
  <c r="M155" i="1" s="1"/>
  <c r="C211" i="1"/>
  <c r="D211" i="1" s="1"/>
  <c r="L171" i="1"/>
  <c r="M171" i="1" s="1"/>
  <c r="C52" i="1"/>
  <c r="D52" i="1" s="1"/>
  <c r="C170" i="1"/>
  <c r="D170" i="1" s="1"/>
  <c r="C179" i="1"/>
  <c r="D179" i="1" s="1"/>
  <c r="L174" i="1"/>
  <c r="M174" i="1" s="1"/>
  <c r="C239" i="1"/>
  <c r="D239" i="1" s="1"/>
  <c r="C133" i="1"/>
  <c r="D133" i="1" s="1"/>
  <c r="L44" i="1"/>
  <c r="M44" i="1" s="1"/>
  <c r="C58" i="1"/>
  <c r="D58" i="1" s="1"/>
  <c r="C59" i="1"/>
  <c r="D59" i="1" s="1"/>
  <c r="C92" i="1"/>
  <c r="D92" i="1" s="1"/>
  <c r="C109" i="1"/>
  <c r="D109" i="1" s="1"/>
  <c r="C166" i="1"/>
  <c r="D166" i="1" s="1"/>
  <c r="L80" i="1"/>
  <c r="M80" i="1" s="1"/>
  <c r="C169" i="1"/>
  <c r="D169" i="1" s="1"/>
  <c r="L107" i="1"/>
  <c r="M107" i="1" s="1"/>
  <c r="L212" i="1"/>
  <c r="M212" i="1" s="1"/>
  <c r="L237" i="1"/>
  <c r="M237" i="1" s="1"/>
  <c r="C38" i="1"/>
  <c r="D38" i="1" s="1"/>
  <c r="L8" i="1"/>
  <c r="M8" i="1" s="1"/>
  <c r="C97" i="1"/>
  <c r="D97" i="1" s="1"/>
  <c r="C193" i="1"/>
  <c r="D193" i="1" s="1"/>
  <c r="L175" i="1"/>
  <c r="M175" i="1" s="1"/>
  <c r="C200" i="1"/>
  <c r="D200" i="1" s="1"/>
  <c r="C27" i="1"/>
  <c r="D27" i="1" s="1"/>
  <c r="C172" i="1"/>
  <c r="D172" i="1" s="1"/>
  <c r="L30" i="1"/>
  <c r="M30" i="1" s="1"/>
  <c r="L183" i="1"/>
  <c r="M183" i="1" s="1"/>
  <c r="L177" i="1"/>
  <c r="M177" i="1" s="1"/>
  <c r="L25" i="1"/>
  <c r="M25" i="1" s="1"/>
  <c r="C117" i="1"/>
  <c r="D117" i="1" s="1"/>
  <c r="C35" i="1"/>
  <c r="D35" i="1" s="1"/>
  <c r="L119" i="1"/>
  <c r="M119" i="1" s="1"/>
  <c r="C123" i="1"/>
  <c r="D123" i="1" s="1"/>
  <c r="C10" i="1"/>
  <c r="D10" i="1" s="1"/>
  <c r="C107" i="1"/>
  <c r="D107" i="1" s="1"/>
  <c r="L63" i="1"/>
  <c r="M63" i="1" s="1"/>
  <c r="L92" i="1"/>
  <c r="M92" i="1" s="1"/>
  <c r="L193" i="1"/>
  <c r="M193" i="1" s="1"/>
  <c r="C219" i="1"/>
  <c r="D219" i="1" s="1"/>
  <c r="L191" i="1"/>
  <c r="M191" i="1" s="1"/>
  <c r="C164" i="1"/>
  <c r="D164" i="1" s="1"/>
  <c r="C66" i="1"/>
  <c r="D66" i="1" s="1"/>
  <c r="C195" i="1"/>
  <c r="D195" i="1" s="1"/>
  <c r="C70" i="1"/>
  <c r="D70" i="1" s="1"/>
  <c r="L135" i="1"/>
  <c r="M135" i="1" s="1"/>
  <c r="C82" i="1"/>
  <c r="D82" i="1" s="1"/>
  <c r="C21" i="1"/>
  <c r="D21" i="1" s="1"/>
  <c r="C53" i="1"/>
  <c r="D53" i="1" s="1"/>
  <c r="C241" i="1"/>
  <c r="D241" i="1" s="1"/>
  <c r="L241" i="1"/>
  <c r="M241" i="1" s="1"/>
  <c r="L50" i="1"/>
  <c r="M50" i="1" s="1"/>
  <c r="C136" i="1"/>
  <c r="D136" i="1" s="1"/>
  <c r="L231" i="1"/>
  <c r="M231" i="1" s="1"/>
  <c r="L190" i="1"/>
  <c r="M190" i="1" s="1"/>
  <c r="L129" i="1"/>
  <c r="M129" i="1" s="1"/>
  <c r="L214" i="1"/>
  <c r="M214" i="1" s="1"/>
  <c r="C116" i="1"/>
  <c r="D116" i="1" s="1"/>
  <c r="C26" i="1"/>
  <c r="D26" i="1" s="1"/>
  <c r="C226" i="1"/>
  <c r="D226" i="1" s="1"/>
  <c r="L132" i="1"/>
  <c r="M132" i="1" s="1"/>
  <c r="L157" i="1"/>
  <c r="M157" i="1" s="1"/>
  <c r="L206" i="1"/>
  <c r="M206" i="1" s="1"/>
  <c r="C55" i="1"/>
  <c r="D55" i="1" s="1"/>
  <c r="L121" i="1"/>
  <c r="M121" i="1" s="1"/>
  <c r="L83" i="1"/>
  <c r="M83" i="1" s="1"/>
  <c r="L20" i="1"/>
  <c r="M20" i="1" s="1"/>
  <c r="L45" i="1"/>
  <c r="M45" i="1" s="1"/>
  <c r="L78" i="1"/>
  <c r="M78" i="1" s="1"/>
  <c r="L159" i="1"/>
  <c r="M159" i="1" s="1"/>
  <c r="L49" i="1"/>
  <c r="M49" i="1" s="1"/>
  <c r="L161" i="1"/>
  <c r="M161" i="1" s="1"/>
  <c r="C198" i="1"/>
  <c r="D198" i="1" s="1"/>
  <c r="L128" i="1"/>
  <c r="M128" i="1" s="1"/>
  <c r="L227" i="1"/>
  <c r="M227" i="1" s="1"/>
  <c r="L164" i="1"/>
  <c r="M164" i="1" s="1"/>
  <c r="C13" i="1"/>
  <c r="D13" i="1" s="1"/>
  <c r="C134" i="1"/>
  <c r="D134" i="1" s="1"/>
  <c r="C96" i="1"/>
  <c r="D96" i="1" s="1"/>
  <c r="C22" i="1"/>
  <c r="D22" i="1" s="1"/>
  <c r="L124" i="1"/>
  <c r="M124" i="1" s="1"/>
  <c r="L201" i="1"/>
  <c r="M201" i="1" s="1"/>
  <c r="L229" i="1"/>
  <c r="M229" i="1" s="1"/>
  <c r="L213" i="1"/>
  <c r="M213" i="1" s="1"/>
  <c r="C90" i="1"/>
  <c r="D90" i="1" s="1"/>
  <c r="L152" i="1"/>
  <c r="M152" i="1" s="1"/>
  <c r="L85" i="1"/>
  <c r="M85" i="1" s="1"/>
  <c r="L139" i="1"/>
  <c r="M139" i="1" s="1"/>
  <c r="C158" i="1"/>
  <c r="D158" i="1" s="1"/>
  <c r="L97" i="1"/>
  <c r="M97" i="1" s="1"/>
  <c r="C157" i="1"/>
  <c r="D157" i="1" s="1"/>
  <c r="L51" i="1"/>
  <c r="M51" i="1" s="1"/>
  <c r="C181" i="1"/>
  <c r="D181" i="1" s="1"/>
  <c r="L18" i="1"/>
  <c r="M18" i="1" s="1"/>
  <c r="C140" i="1"/>
  <c r="D140" i="1" s="1"/>
  <c r="L54" i="1"/>
  <c r="M54" i="1" s="1"/>
  <c r="L55" i="1"/>
  <c r="M55" i="1" s="1"/>
  <c r="L11" i="1"/>
  <c r="M11" i="1" s="1"/>
  <c r="L181" i="1"/>
  <c r="M181" i="1" s="1"/>
  <c r="L167" i="1"/>
  <c r="M167" i="1" s="1"/>
  <c r="L126" i="1"/>
  <c r="M126" i="1" s="1"/>
  <c r="C168" i="1"/>
  <c r="D168" i="1" s="1"/>
  <c r="L102" i="1"/>
  <c r="M102" i="1" s="1"/>
  <c r="C12" i="1"/>
  <c r="D12" i="1" s="1"/>
  <c r="C138" i="1"/>
  <c r="D138" i="1" s="1"/>
  <c r="C234" i="1"/>
  <c r="D234" i="1" s="1"/>
  <c r="L196" i="1"/>
  <c r="M196" i="1" s="1"/>
  <c r="L221" i="1"/>
  <c r="M221" i="1" s="1"/>
  <c r="C30" i="1"/>
  <c r="D30" i="1" s="1"/>
  <c r="C143" i="1"/>
  <c r="D143" i="1" s="1"/>
  <c r="L217" i="1"/>
  <c r="M217" i="1" s="1"/>
  <c r="L91" i="1"/>
  <c r="M91" i="1" s="1"/>
  <c r="L84" i="1"/>
  <c r="M84" i="1" s="1"/>
  <c r="L109" i="1"/>
  <c r="M109" i="1" s="1"/>
  <c r="L150" i="1"/>
  <c r="M150" i="1" s="1"/>
  <c r="L239" i="1"/>
  <c r="M239" i="1" s="1"/>
  <c r="L137" i="1"/>
  <c r="M137" i="1" s="1"/>
  <c r="C25" i="1"/>
  <c r="D25" i="1" s="1"/>
  <c r="L23" i="1"/>
  <c r="M23" i="1" s="1"/>
  <c r="L216" i="1"/>
  <c r="M216" i="1" s="1"/>
  <c r="L235" i="1"/>
  <c r="M235" i="1" s="1"/>
  <c r="L228" i="1"/>
  <c r="M228" i="1" s="1"/>
  <c r="C77" i="1"/>
  <c r="D77" i="1" s="1"/>
  <c r="L31" i="1"/>
  <c r="M31" i="1" s="1"/>
  <c r="C208" i="1"/>
  <c r="D208" i="1" s="1"/>
  <c r="L118" i="1"/>
  <c r="M118" i="1" s="1"/>
  <c r="L12" i="1"/>
  <c r="M12" i="1" s="1"/>
  <c r="L240" i="1"/>
  <c r="M240" i="1" s="1"/>
  <c r="L117" i="1"/>
  <c r="M117" i="1" s="1"/>
  <c r="L108" i="1"/>
  <c r="M108" i="1" s="1"/>
  <c r="L101" i="1"/>
  <c r="M101" i="1" s="1"/>
  <c r="C199" i="1"/>
  <c r="D199" i="1" s="1"/>
  <c r="C212" i="1"/>
  <c r="D212" i="1" s="1"/>
  <c r="L210" i="1"/>
  <c r="M210" i="1" s="1"/>
  <c r="L86" i="1"/>
  <c r="M86" i="1" s="1"/>
  <c r="C64" i="1"/>
  <c r="D64" i="1" s="1"/>
  <c r="L149" i="1"/>
  <c r="M149" i="1" s="1"/>
  <c r="L163" i="1"/>
  <c r="M163" i="1" s="1"/>
  <c r="L141" i="1"/>
  <c r="M141" i="1" s="1"/>
  <c r="C104" i="1"/>
  <c r="D104" i="1" s="1"/>
  <c r="L60" i="1"/>
  <c r="M60" i="1" s="1"/>
  <c r="L21" i="1"/>
  <c r="M21" i="1" s="1"/>
  <c r="C149" i="1"/>
  <c r="D149" i="1" s="1"/>
  <c r="X149" i="1" s="1"/>
  <c r="L178" i="1"/>
  <c r="M178" i="1" s="1"/>
  <c r="L179" i="1"/>
  <c r="M179" i="1" s="1"/>
  <c r="L200" i="1"/>
  <c r="M200" i="1" s="1"/>
  <c r="C229" i="1"/>
  <c r="D229" i="1" s="1"/>
  <c r="L140" i="1"/>
  <c r="M140" i="1" s="1"/>
  <c r="L67" i="1"/>
  <c r="M67" i="1" s="1"/>
  <c r="L123" i="1"/>
  <c r="M123" i="1" s="1"/>
  <c r="C28" i="1"/>
  <c r="D28" i="1" s="1"/>
  <c r="C45" i="1"/>
  <c r="D45" i="1" s="1"/>
  <c r="C94" i="1"/>
  <c r="D94" i="1" s="1"/>
  <c r="C231" i="1"/>
  <c r="D231" i="1" s="1"/>
  <c r="C65" i="1"/>
  <c r="D65" i="1" s="1"/>
  <c r="L99" i="1"/>
  <c r="M99" i="1" s="1"/>
  <c r="L148" i="1"/>
  <c r="M148" i="1" s="1"/>
  <c r="L173" i="1"/>
  <c r="M173" i="1" s="1"/>
  <c r="L222" i="1"/>
  <c r="M222" i="1" s="1"/>
  <c r="C79" i="1"/>
  <c r="D79" i="1" s="1"/>
  <c r="C9" i="1"/>
  <c r="D9" i="1" s="1"/>
  <c r="C105" i="1"/>
  <c r="D105" i="1" s="1"/>
  <c r="L95" i="1"/>
  <c r="M95" i="1" s="1"/>
  <c r="C80" i="1"/>
  <c r="D80" i="1" s="1"/>
  <c r="C50" i="1"/>
  <c r="D50" i="1" s="1"/>
  <c r="C60" i="1"/>
  <c r="D60" i="1" s="1"/>
  <c r="C205" i="1"/>
  <c r="D205" i="1" s="1"/>
  <c r="L111" i="1"/>
  <c r="M111" i="1" s="1"/>
  <c r="L65" i="1"/>
  <c r="M65" i="1" s="1"/>
  <c r="L233" i="1"/>
  <c r="M233" i="1" s="1"/>
  <c r="L6" i="1"/>
  <c r="M6" i="1" s="1"/>
  <c r="C139" i="1"/>
  <c r="D139" i="1" s="1"/>
  <c r="C215" i="1"/>
  <c r="D215" i="1" s="1"/>
  <c r="L116" i="1"/>
  <c r="M116" i="1" s="1"/>
  <c r="L187" i="1"/>
  <c r="M187" i="1" s="1"/>
  <c r="L220" i="1"/>
  <c r="M220" i="1" s="1"/>
  <c r="L223" i="1"/>
  <c r="M223" i="1" s="1"/>
  <c r="L204" i="1"/>
  <c r="M204" i="1" s="1"/>
  <c r="C161" i="1"/>
  <c r="D161" i="1" s="1"/>
  <c r="X161" i="1" s="1"/>
  <c r="C93" i="1"/>
  <c r="D93" i="1" s="1"/>
  <c r="C119" i="1"/>
  <c r="D119" i="1" s="1"/>
  <c r="L37" i="1"/>
  <c r="M37" i="1" s="1"/>
  <c r="C18" i="1"/>
  <c r="D18" i="1" s="1"/>
  <c r="C68" i="1"/>
  <c r="D68" i="1" s="1"/>
  <c r="L207" i="1"/>
  <c r="M207" i="1" s="1"/>
  <c r="C114" i="1"/>
  <c r="D114" i="1" s="1"/>
  <c r="L35" i="1"/>
  <c r="M35" i="1" s="1"/>
  <c r="C180" i="1"/>
  <c r="D180" i="1" s="1"/>
  <c r="L182" i="1"/>
  <c r="M182" i="1" s="1"/>
  <c r="L53" i="1"/>
  <c r="M53" i="1" s="1"/>
  <c r="L76" i="1"/>
  <c r="M76" i="1" s="1"/>
  <c r="C233" i="1"/>
  <c r="D233" i="1" s="1"/>
  <c r="L242" i="1"/>
  <c r="M242" i="1" s="1"/>
  <c r="C242" i="1"/>
  <c r="D242" i="1" s="1"/>
  <c r="L188" i="1"/>
  <c r="M188" i="1" s="1"/>
  <c r="AY6" i="1"/>
  <c r="C124" i="1"/>
  <c r="D124" i="1" s="1"/>
  <c r="C141" i="1"/>
  <c r="D141" i="1" s="1"/>
  <c r="C206" i="1"/>
  <c r="D206" i="1" s="1"/>
  <c r="L232" i="1"/>
  <c r="M232" i="1" s="1"/>
  <c r="L114" i="1"/>
  <c r="M114" i="1" s="1"/>
  <c r="C47" i="1"/>
  <c r="D47" i="1" s="1"/>
  <c r="L133" i="1"/>
  <c r="M133" i="1" s="1"/>
  <c r="C106" i="1"/>
  <c r="D106" i="1" s="1"/>
  <c r="C31" i="1"/>
  <c r="D31" i="1" s="1"/>
  <c r="L236" i="1"/>
  <c r="M236" i="1" s="1"/>
  <c r="C228" i="1"/>
  <c r="D228" i="1" s="1"/>
  <c r="C227" i="1"/>
  <c r="D227" i="1" s="1"/>
  <c r="L185" i="1"/>
  <c r="M185" i="1" s="1"/>
  <c r="L70" i="1"/>
  <c r="M70" i="1" s="1"/>
  <c r="C99" i="1"/>
  <c r="D99" i="1" s="1"/>
  <c r="C224" i="1"/>
  <c r="D224" i="1" s="1"/>
  <c r="C100" i="1"/>
  <c r="D100" i="1" s="1"/>
  <c r="L72" i="1"/>
  <c r="M72" i="1" s="1"/>
  <c r="C37" i="1"/>
  <c r="D37" i="1" s="1"/>
  <c r="C51" i="1"/>
  <c r="D51" i="1" s="1"/>
  <c r="C103" i="1"/>
  <c r="D103" i="1" s="1"/>
  <c r="C165" i="1"/>
  <c r="D165" i="1" s="1"/>
  <c r="C151" i="1"/>
  <c r="D151" i="1" s="1"/>
  <c r="L22" i="1"/>
  <c r="M22" i="1" s="1"/>
  <c r="C147" i="1"/>
  <c r="D147" i="1" s="1"/>
  <c r="L88" i="1"/>
  <c r="M88" i="1" s="1"/>
  <c r="L156" i="1"/>
  <c r="M156" i="1" s="1"/>
  <c r="C142" i="1"/>
  <c r="D142" i="1" s="1"/>
  <c r="L105" i="1"/>
  <c r="M105" i="1" s="1"/>
  <c r="L147" i="1"/>
  <c r="M147" i="1" s="1"/>
  <c r="L28" i="1"/>
  <c r="M28" i="1" s="1"/>
  <c r="L41" i="1"/>
  <c r="M41" i="1" s="1"/>
  <c r="C69" i="1"/>
  <c r="D69" i="1" s="1"/>
  <c r="L180" i="1"/>
  <c r="M180" i="1" s="1"/>
  <c r="L142" i="1"/>
  <c r="M142" i="1" s="1"/>
  <c r="BN6" i="1"/>
  <c r="BM6" i="1"/>
  <c r="G5" i="1"/>
  <c r="CA5" i="1"/>
  <c r="V5" i="1"/>
  <c r="BA6" i="1"/>
  <c r="AO5" i="1"/>
  <c r="Z7" i="1" l="1"/>
  <c r="O6" i="1"/>
  <c r="U7" i="1"/>
  <c r="BU7" i="1" s="1"/>
  <c r="K63" i="1"/>
  <c r="Q62" i="1"/>
  <c r="BJ6" i="1"/>
  <c r="BU6" i="1"/>
  <c r="AB8" i="1"/>
  <c r="U8" i="1" s="1"/>
  <c r="F5" i="1"/>
  <c r="BH5" i="1"/>
  <c r="BC5" i="1"/>
  <c r="AW5" i="1"/>
  <c r="BQ230" i="1"/>
  <c r="BO6" i="1"/>
  <c r="BT5" i="1"/>
  <c r="BS5" i="1"/>
  <c r="BI5" i="1"/>
  <c r="P9" i="1"/>
  <c r="BJ7" i="1" l="1"/>
  <c r="BJ8" i="1"/>
  <c r="BU8" i="1"/>
  <c r="K64" i="1"/>
  <c r="Q63" i="1"/>
  <c r="AB9" i="1"/>
  <c r="Z8" i="1"/>
  <c r="AD5" i="1"/>
  <c r="BG6" i="1"/>
  <c r="AK5" i="1"/>
  <c r="AP5" i="1" s="1"/>
  <c r="CF5" i="1"/>
  <c r="CJ5" i="1"/>
  <c r="H5" i="1"/>
  <c r="J5" i="1" s="1"/>
  <c r="BV5" i="1"/>
  <c r="BR6" i="1" s="1"/>
  <c r="CM5" i="1"/>
  <c r="CN5" i="1" s="1"/>
  <c r="CB5" i="1"/>
  <c r="BX6" i="1" s="1"/>
  <c r="BQ231" i="1"/>
  <c r="P10" i="1"/>
  <c r="Z9" i="1" l="1"/>
  <c r="AE5" i="1"/>
  <c r="Q64" i="1"/>
  <c r="K65" i="1"/>
  <c r="U9" i="1"/>
  <c r="AB10" i="1"/>
  <c r="CG5" i="1"/>
  <c r="CD6" i="1"/>
  <c r="BZ6" i="1"/>
  <c r="CE6" i="1"/>
  <c r="BY6" i="1"/>
  <c r="BQ232" i="1"/>
  <c r="P11" i="1"/>
  <c r="U10" i="1" l="1"/>
  <c r="BJ10" i="1" s="1"/>
  <c r="Z10" i="1"/>
  <c r="BU9" i="1"/>
  <c r="BJ9" i="1"/>
  <c r="AB11" i="1"/>
  <c r="K66" i="1"/>
  <c r="Q65" i="1"/>
  <c r="CA6" i="1"/>
  <c r="BQ233" i="1"/>
  <c r="P12" i="1"/>
  <c r="BU10" i="1" l="1"/>
  <c r="Z11" i="1"/>
  <c r="U11" i="1"/>
  <c r="AB12" i="1"/>
  <c r="Z12" i="1" s="1"/>
  <c r="K67" i="1"/>
  <c r="Q66" i="1"/>
  <c r="BQ234" i="1"/>
  <c r="P13" i="1"/>
  <c r="U12" i="1" l="1"/>
  <c r="BU12" i="1" s="1"/>
  <c r="AB13" i="1"/>
  <c r="Z13" i="1" s="1"/>
  <c r="Q67" i="1"/>
  <c r="K68" i="1"/>
  <c r="BJ11" i="1"/>
  <c r="BU11" i="1"/>
  <c r="BQ235" i="1"/>
  <c r="P14" i="1"/>
  <c r="U13" i="1" l="1"/>
  <c r="BU13" i="1" s="1"/>
  <c r="AB14" i="1"/>
  <c r="Z14" i="1" s="1"/>
  <c r="BJ12" i="1"/>
  <c r="Q68" i="1"/>
  <c r="K69" i="1"/>
  <c r="BQ236" i="1"/>
  <c r="P15" i="1"/>
  <c r="BJ13" i="1" l="1"/>
  <c r="AB15" i="1"/>
  <c r="Z15" i="1" s="1"/>
  <c r="U14" i="1"/>
  <c r="BJ14" i="1" s="1"/>
  <c r="AB16" i="1"/>
  <c r="Q69" i="1"/>
  <c r="K70" i="1"/>
  <c r="BQ237" i="1"/>
  <c r="P16" i="1"/>
  <c r="U15" i="1" l="1"/>
  <c r="BU14" i="1"/>
  <c r="AB17" i="1"/>
  <c r="Z16" i="1"/>
  <c r="U16" i="1"/>
  <c r="Q70" i="1"/>
  <c r="K71" i="1"/>
  <c r="BU15" i="1"/>
  <c r="BJ15" i="1"/>
  <c r="BQ238" i="1"/>
  <c r="P17" i="1"/>
  <c r="K72" i="1" l="1"/>
  <c r="Q71" i="1"/>
  <c r="AB18" i="1"/>
  <c r="Z17" i="1"/>
  <c r="U17" i="1"/>
  <c r="BU16" i="1"/>
  <c r="BJ16" i="1"/>
  <c r="BQ239" i="1"/>
  <c r="P18" i="1"/>
  <c r="BJ17" i="1" l="1"/>
  <c r="BU17" i="1"/>
  <c r="Z18" i="1"/>
  <c r="AB19" i="1"/>
  <c r="U18" i="1"/>
  <c r="Q72" i="1"/>
  <c r="K73" i="1"/>
  <c r="BQ240" i="1"/>
  <c r="P19" i="1"/>
  <c r="Q73" i="1" l="1"/>
  <c r="K74" i="1"/>
  <c r="AB20" i="1"/>
  <c r="Z19" i="1"/>
  <c r="U19" i="1"/>
  <c r="BJ18" i="1"/>
  <c r="BU18" i="1"/>
  <c r="BQ241" i="1"/>
  <c r="P20" i="1"/>
  <c r="BU19" i="1" l="1"/>
  <c r="BJ19" i="1"/>
  <c r="AB21" i="1"/>
  <c r="Z20" i="1"/>
  <c r="U20" i="1"/>
  <c r="Q74" i="1"/>
  <c r="K75" i="1"/>
  <c r="P21" i="1"/>
  <c r="BU20" i="1" l="1"/>
  <c r="BJ20" i="1"/>
  <c r="AB22" i="1"/>
  <c r="Z21" i="1"/>
  <c r="U21" i="1"/>
  <c r="K76" i="1"/>
  <c r="Q75" i="1"/>
  <c r="P22" i="1"/>
  <c r="BU21" i="1" l="1"/>
  <c r="BJ21" i="1"/>
  <c r="AB23" i="1"/>
  <c r="Z22" i="1"/>
  <c r="U22" i="1"/>
  <c r="Q76" i="1"/>
  <c r="K77" i="1"/>
  <c r="P23" i="1"/>
  <c r="K78" i="1" l="1"/>
  <c r="Q77" i="1"/>
  <c r="AB24" i="1"/>
  <c r="Z23" i="1"/>
  <c r="U23" i="1"/>
  <c r="BU22" i="1"/>
  <c r="BJ22" i="1"/>
  <c r="P24" i="1"/>
  <c r="AB25" i="1" l="1"/>
  <c r="Z24" i="1"/>
  <c r="U24" i="1"/>
  <c r="BJ23" i="1"/>
  <c r="BU23" i="1"/>
  <c r="K79" i="1"/>
  <c r="Q78" i="1"/>
  <c r="P25" i="1"/>
  <c r="K80" i="1" l="1"/>
  <c r="Q79" i="1"/>
  <c r="AB26" i="1"/>
  <c r="Z25" i="1"/>
  <c r="U25" i="1"/>
  <c r="BU24" i="1"/>
  <c r="BJ24" i="1"/>
  <c r="P26" i="1"/>
  <c r="BU25" i="1" l="1"/>
  <c r="BJ25" i="1"/>
  <c r="AB27" i="1"/>
  <c r="Z26" i="1"/>
  <c r="U26" i="1"/>
  <c r="Q80" i="1"/>
  <c r="K81" i="1"/>
  <c r="P27" i="1"/>
  <c r="K82" i="1" l="1"/>
  <c r="Q81" i="1"/>
  <c r="AB28" i="1"/>
  <c r="Z27" i="1"/>
  <c r="U27" i="1"/>
  <c r="BU26" i="1"/>
  <c r="BJ26" i="1"/>
  <c r="P28" i="1"/>
  <c r="AB29" i="1" l="1"/>
  <c r="Z28" i="1"/>
  <c r="U28" i="1"/>
  <c r="BJ27" i="1"/>
  <c r="BU27" i="1"/>
  <c r="K83" i="1"/>
  <c r="Q82" i="1"/>
  <c r="P29" i="1"/>
  <c r="BJ28" i="1" l="1"/>
  <c r="BU28" i="1"/>
  <c r="AB30" i="1"/>
  <c r="Z29" i="1"/>
  <c r="U29" i="1"/>
  <c r="K84" i="1"/>
  <c r="Q83" i="1"/>
  <c r="P30" i="1"/>
  <c r="AB31" i="1" l="1"/>
  <c r="Z30" i="1"/>
  <c r="U30" i="1"/>
  <c r="Q84" i="1"/>
  <c r="K85" i="1"/>
  <c r="BJ29" i="1"/>
  <c r="BU29" i="1"/>
  <c r="P31" i="1"/>
  <c r="BU30" i="1" l="1"/>
  <c r="BJ30" i="1"/>
  <c r="AB32" i="1"/>
  <c r="Z31" i="1"/>
  <c r="U31" i="1"/>
  <c r="K86" i="1"/>
  <c r="Q85" i="1"/>
  <c r="P32" i="1"/>
  <c r="K87" i="1" l="1"/>
  <c r="Q86" i="1"/>
  <c r="BJ31" i="1"/>
  <c r="BU31" i="1"/>
  <c r="AB33" i="1"/>
  <c r="Z32" i="1"/>
  <c r="U32" i="1"/>
  <c r="P33" i="1"/>
  <c r="BJ32" i="1" l="1"/>
  <c r="BU32" i="1"/>
  <c r="AB34" i="1"/>
  <c r="Z33" i="1"/>
  <c r="U33" i="1"/>
  <c r="K88" i="1"/>
  <c r="Q87" i="1"/>
  <c r="P34" i="1"/>
  <c r="K89" i="1" l="1"/>
  <c r="Q88" i="1"/>
  <c r="AB35" i="1"/>
  <c r="Z34" i="1"/>
  <c r="U34" i="1"/>
  <c r="BJ33" i="1"/>
  <c r="BU33" i="1"/>
  <c r="P35" i="1"/>
  <c r="BU34" i="1" l="1"/>
  <c r="BJ34" i="1"/>
  <c r="AB36" i="1"/>
  <c r="Z35" i="1"/>
  <c r="U35" i="1"/>
  <c r="Q89" i="1"/>
  <c r="K90" i="1"/>
  <c r="P36" i="1"/>
  <c r="Q90" i="1" l="1"/>
  <c r="K91" i="1"/>
  <c r="BJ35" i="1"/>
  <c r="BU35" i="1"/>
  <c r="AB37" i="1"/>
  <c r="Z36" i="1"/>
  <c r="U36" i="1"/>
  <c r="P37" i="1"/>
  <c r="AB38" i="1" l="1"/>
  <c r="Z37" i="1"/>
  <c r="U37" i="1"/>
  <c r="K92" i="1"/>
  <c r="Q91" i="1"/>
  <c r="BJ36" i="1"/>
  <c r="BU36" i="1"/>
  <c r="P38" i="1"/>
  <c r="AB39" i="1" l="1"/>
  <c r="Z38" i="1"/>
  <c r="U38" i="1"/>
  <c r="K93" i="1"/>
  <c r="Q92" i="1"/>
  <c r="BJ37" i="1"/>
  <c r="BU37" i="1"/>
  <c r="P39" i="1"/>
  <c r="K94" i="1" l="1"/>
  <c r="Q93" i="1"/>
  <c r="BJ38" i="1"/>
  <c r="BU38" i="1"/>
  <c r="AB40" i="1"/>
  <c r="Z39" i="1"/>
  <c r="U39" i="1"/>
  <c r="P40" i="1"/>
  <c r="BU39" i="1" l="1"/>
  <c r="BJ39" i="1"/>
  <c r="AB41" i="1"/>
  <c r="Z40" i="1"/>
  <c r="U40" i="1"/>
  <c r="K95" i="1"/>
  <c r="Q94" i="1"/>
  <c r="P41" i="1"/>
  <c r="Z41" i="1" l="1"/>
  <c r="AB42" i="1"/>
  <c r="U41" i="1"/>
  <c r="Q95" i="1"/>
  <c r="K96" i="1"/>
  <c r="BU40" i="1"/>
  <c r="BJ40" i="1"/>
  <c r="P42" i="1"/>
  <c r="K97" i="1" l="1"/>
  <c r="Q96" i="1"/>
  <c r="BJ41" i="1"/>
  <c r="BU41" i="1"/>
  <c r="AB43" i="1"/>
  <c r="Z42" i="1"/>
  <c r="U42" i="1"/>
  <c r="P43" i="1"/>
  <c r="BJ42" i="1" l="1"/>
  <c r="BU42" i="1"/>
  <c r="AB44" i="1"/>
  <c r="Z43" i="1"/>
  <c r="U43" i="1"/>
  <c r="Q97" i="1"/>
  <c r="K98" i="1"/>
  <c r="P44" i="1"/>
  <c r="AB45" i="1" l="1"/>
  <c r="Z44" i="1"/>
  <c r="U44" i="1"/>
  <c r="Q98" i="1"/>
  <c r="K99" i="1"/>
  <c r="BJ43" i="1"/>
  <c r="BU43" i="1"/>
  <c r="P45" i="1"/>
  <c r="K100" i="1" l="1"/>
  <c r="Q99" i="1"/>
  <c r="AB46" i="1"/>
  <c r="Z45" i="1"/>
  <c r="U45" i="1"/>
  <c r="BJ44" i="1"/>
  <c r="BU44" i="1"/>
  <c r="P46" i="1"/>
  <c r="AB47" i="1" l="1"/>
  <c r="Z46" i="1"/>
  <c r="U46" i="1"/>
  <c r="BJ45" i="1"/>
  <c r="BU45" i="1"/>
  <c r="Q100" i="1"/>
  <c r="K101" i="1"/>
  <c r="P47" i="1"/>
  <c r="BU46" i="1" l="1"/>
  <c r="BJ46" i="1"/>
  <c r="AB48" i="1"/>
  <c r="Z47" i="1"/>
  <c r="U47" i="1"/>
  <c r="K102" i="1"/>
  <c r="Q101" i="1"/>
  <c r="P48" i="1"/>
  <c r="AB49" i="1" l="1"/>
  <c r="Z48" i="1"/>
  <c r="U48" i="1"/>
  <c r="Q102" i="1"/>
  <c r="K103" i="1"/>
  <c r="BJ47" i="1"/>
  <c r="BU47" i="1"/>
  <c r="P49" i="1"/>
  <c r="AB50" i="1" l="1"/>
  <c r="Z49" i="1"/>
  <c r="U49" i="1"/>
  <c r="BU48" i="1"/>
  <c r="BJ48" i="1"/>
  <c r="K104" i="1"/>
  <c r="Q103" i="1"/>
  <c r="P50" i="1"/>
  <c r="AB51" i="1" s="1"/>
  <c r="Q104" i="1" l="1"/>
  <c r="K105" i="1"/>
  <c r="BU49" i="1"/>
  <c r="BJ49" i="1"/>
  <c r="P51" i="1"/>
  <c r="AB52" i="1" s="1"/>
  <c r="Q105" i="1" l="1"/>
  <c r="K106" i="1"/>
  <c r="P52" i="1"/>
  <c r="AB53" i="1" s="1"/>
  <c r="K107" i="1" l="1"/>
  <c r="Q106" i="1"/>
  <c r="P53" i="1"/>
  <c r="AB54" i="1" s="1"/>
  <c r="K108" i="1" l="1"/>
  <c r="Q107" i="1"/>
  <c r="P54" i="1"/>
  <c r="AB55" i="1" s="1"/>
  <c r="K109" i="1" l="1"/>
  <c r="Q108" i="1"/>
  <c r="P55" i="1"/>
  <c r="AB56" i="1" s="1"/>
  <c r="K110" i="1" l="1"/>
  <c r="Q109" i="1"/>
  <c r="P56" i="1"/>
  <c r="AB57" i="1" s="1"/>
  <c r="Q110" i="1" l="1"/>
  <c r="K111" i="1"/>
  <c r="P57" i="1"/>
  <c r="AB58" i="1" s="1"/>
  <c r="K112" i="1" l="1"/>
  <c r="Q111" i="1"/>
  <c r="P58" i="1"/>
  <c r="AB59" i="1" s="1"/>
  <c r="Q112" i="1" l="1"/>
  <c r="K113" i="1"/>
  <c r="P59" i="1"/>
  <c r="AB60" i="1" s="1"/>
  <c r="K114" i="1" l="1"/>
  <c r="Q113" i="1"/>
  <c r="P60" i="1"/>
  <c r="AB61" i="1" s="1"/>
  <c r="K115" i="1" l="1"/>
  <c r="Q114" i="1"/>
  <c r="P61" i="1"/>
  <c r="AB62" i="1" s="1"/>
  <c r="K116" i="1" l="1"/>
  <c r="Q115" i="1"/>
  <c r="P62" i="1"/>
  <c r="AB63" i="1" s="1"/>
  <c r="Q116" i="1" l="1"/>
  <c r="K117" i="1"/>
  <c r="P63" i="1"/>
  <c r="AB64" i="1" s="1"/>
  <c r="K118" i="1" l="1"/>
  <c r="Q117" i="1"/>
  <c r="P64" i="1"/>
  <c r="AB65" i="1" s="1"/>
  <c r="K119" i="1" l="1"/>
  <c r="Q118" i="1"/>
  <c r="P65" i="1"/>
  <c r="AB66" i="1" s="1"/>
  <c r="K120" i="1" l="1"/>
  <c r="Q119" i="1"/>
  <c r="P66" i="1"/>
  <c r="AB67" i="1" s="1"/>
  <c r="Q120" i="1" l="1"/>
  <c r="K121" i="1"/>
  <c r="P67" i="1"/>
  <c r="AB68" i="1" s="1"/>
  <c r="Q121" i="1" l="1"/>
  <c r="K122" i="1"/>
  <c r="P68" i="1"/>
  <c r="AB69" i="1" s="1"/>
  <c r="K123" i="1" l="1"/>
  <c r="Q122" i="1"/>
  <c r="P69" i="1"/>
  <c r="AB70" i="1" s="1"/>
  <c r="K124" i="1" l="1"/>
  <c r="Q123" i="1"/>
  <c r="P70" i="1"/>
  <c r="AB71" i="1" s="1"/>
  <c r="Q124" i="1" l="1"/>
  <c r="K125" i="1"/>
  <c r="P71" i="1"/>
  <c r="AB72" i="1" s="1"/>
  <c r="Q125" i="1" l="1"/>
  <c r="K126" i="1"/>
  <c r="P72" i="1"/>
  <c r="AB73" i="1" s="1"/>
  <c r="Q126" i="1" l="1"/>
  <c r="K127" i="1"/>
  <c r="P73" i="1"/>
  <c r="AB74" i="1" s="1"/>
  <c r="Q127" i="1" l="1"/>
  <c r="K128" i="1"/>
  <c r="P74" i="1"/>
  <c r="AB75" i="1" s="1"/>
  <c r="K129" i="1" l="1"/>
  <c r="Q128" i="1"/>
  <c r="P75" i="1"/>
  <c r="AB76" i="1" s="1"/>
  <c r="K130" i="1" l="1"/>
  <c r="Q129" i="1"/>
  <c r="P76" i="1"/>
  <c r="AB77" i="1" s="1"/>
  <c r="K131" i="1" l="1"/>
  <c r="Q130" i="1"/>
  <c r="P77" i="1"/>
  <c r="AB78" i="1" s="1"/>
  <c r="Q131" i="1" l="1"/>
  <c r="K132" i="1"/>
  <c r="P78" i="1"/>
  <c r="AB79" i="1" s="1"/>
  <c r="K133" i="1" l="1"/>
  <c r="Q132" i="1"/>
  <c r="P79" i="1"/>
  <c r="AB80" i="1" s="1"/>
  <c r="K134" i="1" l="1"/>
  <c r="Q133" i="1"/>
  <c r="P80" i="1"/>
  <c r="AB81" i="1" s="1"/>
  <c r="K135" i="1" l="1"/>
  <c r="Q134" i="1"/>
  <c r="P81" i="1"/>
  <c r="AB82" i="1" s="1"/>
  <c r="Q135" i="1" l="1"/>
  <c r="K136" i="1"/>
  <c r="P82" i="1"/>
  <c r="AB83" i="1" s="1"/>
  <c r="K137" i="1" l="1"/>
  <c r="Q136" i="1"/>
  <c r="P83" i="1"/>
  <c r="AB84" i="1" s="1"/>
  <c r="K138" i="1" l="1"/>
  <c r="Q137" i="1"/>
  <c r="P84" i="1"/>
  <c r="AB85" i="1" s="1"/>
  <c r="Q138" i="1" l="1"/>
  <c r="K139" i="1"/>
  <c r="P85" i="1"/>
  <c r="AB86" i="1" s="1"/>
  <c r="Q139" i="1" l="1"/>
  <c r="K140" i="1"/>
  <c r="P86" i="1"/>
  <c r="AB87" i="1" s="1"/>
  <c r="Q140" i="1" l="1"/>
  <c r="K141" i="1"/>
  <c r="P87" i="1"/>
  <c r="AB88" i="1" s="1"/>
  <c r="Q141" i="1" l="1"/>
  <c r="K142" i="1"/>
  <c r="P88" i="1"/>
  <c r="AB89" i="1" s="1"/>
  <c r="Q142" i="1" l="1"/>
  <c r="K143" i="1"/>
  <c r="P89" i="1"/>
  <c r="AB90" i="1" s="1"/>
  <c r="K144" i="1" l="1"/>
  <c r="Q143" i="1"/>
  <c r="P90" i="1"/>
  <c r="AB91" i="1" s="1"/>
  <c r="Q144" i="1" l="1"/>
  <c r="K145" i="1"/>
  <c r="P91" i="1"/>
  <c r="AB92" i="1" s="1"/>
  <c r="Q145" i="1" l="1"/>
  <c r="K146" i="1"/>
  <c r="P92" i="1"/>
  <c r="AB93" i="1" s="1"/>
  <c r="K147" i="1" l="1"/>
  <c r="Q146" i="1"/>
  <c r="P93" i="1"/>
  <c r="AB94" i="1" s="1"/>
  <c r="K148" i="1" l="1"/>
  <c r="Q147" i="1"/>
  <c r="P94" i="1"/>
  <c r="AB95" i="1" s="1"/>
  <c r="K149" i="1" l="1"/>
  <c r="Q148" i="1"/>
  <c r="P95" i="1"/>
  <c r="AB96" i="1" s="1"/>
  <c r="Q149" i="1" l="1"/>
  <c r="K150" i="1"/>
  <c r="P96" i="1"/>
  <c r="AB97" i="1" s="1"/>
  <c r="K151" i="1" l="1"/>
  <c r="Q150" i="1"/>
  <c r="P97" i="1"/>
  <c r="AB98" i="1" s="1"/>
  <c r="Q151" i="1" l="1"/>
  <c r="K152" i="1"/>
  <c r="P98" i="1"/>
  <c r="AB99" i="1" s="1"/>
  <c r="K153" i="1" l="1"/>
  <c r="Q152" i="1"/>
  <c r="P99" i="1"/>
  <c r="AB100" i="1" s="1"/>
  <c r="K154" i="1" l="1"/>
  <c r="Q153" i="1"/>
  <c r="P100" i="1"/>
  <c r="AB101" i="1" s="1"/>
  <c r="K155" i="1" l="1"/>
  <c r="Q154" i="1"/>
  <c r="P101" i="1"/>
  <c r="AB102" i="1" s="1"/>
  <c r="K156" i="1" l="1"/>
  <c r="Q155" i="1"/>
  <c r="P102" i="1"/>
  <c r="AB103" i="1" s="1"/>
  <c r="Q156" i="1" l="1"/>
  <c r="K157" i="1"/>
  <c r="P103" i="1"/>
  <c r="AB104" i="1" s="1"/>
  <c r="Q157" i="1" l="1"/>
  <c r="K158" i="1"/>
  <c r="P104" i="1"/>
  <c r="AB105" i="1" s="1"/>
  <c r="K159" i="1" l="1"/>
  <c r="Q158" i="1"/>
  <c r="P105" i="1"/>
  <c r="AB106" i="1" s="1"/>
  <c r="K160" i="1" l="1"/>
  <c r="Q159" i="1"/>
  <c r="P106" i="1"/>
  <c r="AB107" i="1" s="1"/>
  <c r="K161" i="1" l="1"/>
  <c r="Q160" i="1"/>
  <c r="P107" i="1"/>
  <c r="AB108" i="1" s="1"/>
  <c r="K162" i="1" l="1"/>
  <c r="Q161" i="1"/>
  <c r="P108" i="1"/>
  <c r="AB109" i="1" s="1"/>
  <c r="K163" i="1" l="1"/>
  <c r="Q162" i="1"/>
  <c r="P109" i="1"/>
  <c r="AB110" i="1" s="1"/>
  <c r="K164" i="1" l="1"/>
  <c r="Q163" i="1"/>
  <c r="P110" i="1"/>
  <c r="AB111" i="1" s="1"/>
  <c r="K165" i="1" l="1"/>
  <c r="Q164" i="1"/>
  <c r="P111" i="1"/>
  <c r="AB112" i="1" s="1"/>
  <c r="Q165" i="1" l="1"/>
  <c r="K166" i="1"/>
  <c r="P112" i="1"/>
  <c r="AB113" i="1" s="1"/>
  <c r="K167" i="1" l="1"/>
  <c r="Q166" i="1"/>
  <c r="P113" i="1"/>
  <c r="AB114" i="1" s="1"/>
  <c r="Q167" i="1" l="1"/>
  <c r="K168" i="1"/>
  <c r="P114" i="1"/>
  <c r="AB115" i="1" s="1"/>
  <c r="K169" i="1" l="1"/>
  <c r="Q168" i="1"/>
  <c r="P115" i="1"/>
  <c r="AB116" i="1" s="1"/>
  <c r="Q169" i="1" l="1"/>
  <c r="K170" i="1"/>
  <c r="P116" i="1"/>
  <c r="AB117" i="1" s="1"/>
  <c r="K171" i="1" l="1"/>
  <c r="Q170" i="1"/>
  <c r="P117" i="1"/>
  <c r="AB118" i="1" s="1"/>
  <c r="Q171" i="1" l="1"/>
  <c r="K172" i="1"/>
  <c r="P118" i="1"/>
  <c r="AB119" i="1" s="1"/>
  <c r="K173" i="1" l="1"/>
  <c r="Q172" i="1"/>
  <c r="P119" i="1"/>
  <c r="AB120" i="1" s="1"/>
  <c r="Q173" i="1" l="1"/>
  <c r="K174" i="1"/>
  <c r="P120" i="1"/>
  <c r="AB121" i="1" s="1"/>
  <c r="K175" i="1" l="1"/>
  <c r="Q174" i="1"/>
  <c r="P121" i="1"/>
  <c r="AB122" i="1" s="1"/>
  <c r="Q175" i="1" l="1"/>
  <c r="K176" i="1"/>
  <c r="P122" i="1"/>
  <c r="AB123" i="1" s="1"/>
  <c r="Q176" i="1" l="1"/>
  <c r="K177" i="1"/>
  <c r="P123" i="1"/>
  <c r="AB124" i="1" s="1"/>
  <c r="Q177" i="1" l="1"/>
  <c r="K178" i="1"/>
  <c r="P124" i="1"/>
  <c r="AB125" i="1" s="1"/>
  <c r="Q178" i="1" l="1"/>
  <c r="K179" i="1"/>
  <c r="P125" i="1"/>
  <c r="AB126" i="1" s="1"/>
  <c r="K180" i="1" l="1"/>
  <c r="Q179" i="1"/>
  <c r="P126" i="1"/>
  <c r="AB127" i="1" s="1"/>
  <c r="K181" i="1" l="1"/>
  <c r="Q180" i="1"/>
  <c r="P127" i="1"/>
  <c r="AB128" i="1" s="1"/>
  <c r="K182" i="1" l="1"/>
  <c r="Q181" i="1"/>
  <c r="P128" i="1"/>
  <c r="AB129" i="1" s="1"/>
  <c r="K183" i="1" l="1"/>
  <c r="Q182" i="1"/>
  <c r="P129" i="1"/>
  <c r="AB130" i="1" s="1"/>
  <c r="K184" i="1" l="1"/>
  <c r="Q183" i="1"/>
  <c r="P130" i="1"/>
  <c r="AB131" i="1" s="1"/>
  <c r="Q184" i="1" l="1"/>
  <c r="K185" i="1"/>
  <c r="P131" i="1"/>
  <c r="AB132" i="1" s="1"/>
  <c r="K186" i="1" l="1"/>
  <c r="Q185" i="1"/>
  <c r="P132" i="1"/>
  <c r="AB133" i="1" s="1"/>
  <c r="K187" i="1" l="1"/>
  <c r="Q186" i="1"/>
  <c r="P133" i="1"/>
  <c r="AB134" i="1" s="1"/>
  <c r="Q187" i="1" l="1"/>
  <c r="K188" i="1"/>
  <c r="P134" i="1"/>
  <c r="AB135" i="1" s="1"/>
  <c r="Q188" i="1" l="1"/>
  <c r="K189" i="1"/>
  <c r="P135" i="1"/>
  <c r="AB136" i="1" s="1"/>
  <c r="K190" i="1" l="1"/>
  <c r="Q189" i="1"/>
  <c r="P136" i="1"/>
  <c r="AB137" i="1" s="1"/>
  <c r="K191" i="1" l="1"/>
  <c r="Q190" i="1"/>
  <c r="P137" i="1"/>
  <c r="AB138" i="1" s="1"/>
  <c r="Q191" i="1" l="1"/>
  <c r="K192" i="1"/>
  <c r="P138" i="1"/>
  <c r="AB139" i="1" s="1"/>
  <c r="Q192" i="1" l="1"/>
  <c r="K193" i="1"/>
  <c r="P139" i="1"/>
  <c r="AB140" i="1" s="1"/>
  <c r="Q193" i="1" l="1"/>
  <c r="K194" i="1"/>
  <c r="P140" i="1"/>
  <c r="AB141" i="1" s="1"/>
  <c r="Q194" i="1" l="1"/>
  <c r="K195" i="1"/>
  <c r="P141" i="1"/>
  <c r="AB142" i="1" s="1"/>
  <c r="K196" i="1" l="1"/>
  <c r="Q195" i="1"/>
  <c r="P142" i="1"/>
  <c r="AB143" i="1" s="1"/>
  <c r="Q196" i="1" l="1"/>
  <c r="K197" i="1"/>
  <c r="P143" i="1"/>
  <c r="AB144" i="1" s="1"/>
  <c r="K198" i="1" l="1"/>
  <c r="Q197" i="1"/>
  <c r="P144" i="1"/>
  <c r="AB145" i="1" s="1"/>
  <c r="Q198" i="1" l="1"/>
  <c r="K199" i="1"/>
  <c r="P145" i="1"/>
  <c r="AB146" i="1" s="1"/>
  <c r="K200" i="1" l="1"/>
  <c r="Q199" i="1"/>
  <c r="P146" i="1"/>
  <c r="AB147" i="1" s="1"/>
  <c r="Q200" i="1" l="1"/>
  <c r="K201" i="1"/>
  <c r="P147" i="1"/>
  <c r="AB148" i="1" s="1"/>
  <c r="K202" i="1" l="1"/>
  <c r="Q201" i="1"/>
  <c r="P148" i="1"/>
  <c r="AB149" i="1" s="1"/>
  <c r="K203" i="1" l="1"/>
  <c r="Q202" i="1"/>
  <c r="P149" i="1"/>
  <c r="AB150" i="1" s="1"/>
  <c r="Q203" i="1" l="1"/>
  <c r="K204" i="1"/>
  <c r="P150" i="1"/>
  <c r="AB151" i="1" s="1"/>
  <c r="K205" i="1" l="1"/>
  <c r="Q204" i="1"/>
  <c r="P151" i="1"/>
  <c r="AB152" i="1" s="1"/>
  <c r="Q205" i="1" l="1"/>
  <c r="K206" i="1"/>
  <c r="P152" i="1"/>
  <c r="AB153" i="1" s="1"/>
  <c r="K207" i="1" l="1"/>
  <c r="Q206" i="1"/>
  <c r="P153" i="1"/>
  <c r="AB154" i="1" s="1"/>
  <c r="K208" i="1" l="1"/>
  <c r="Q207" i="1"/>
  <c r="P154" i="1"/>
  <c r="AB155" i="1" s="1"/>
  <c r="K209" i="1" l="1"/>
  <c r="Q208" i="1"/>
  <c r="P155" i="1"/>
  <c r="AB156" i="1" s="1"/>
  <c r="Q209" i="1" l="1"/>
  <c r="K210" i="1"/>
  <c r="P156" i="1"/>
  <c r="AB157" i="1" s="1"/>
  <c r="Q210" i="1" l="1"/>
  <c r="K211" i="1"/>
  <c r="P157" i="1"/>
  <c r="AB158" i="1" s="1"/>
  <c r="Q211" i="1" l="1"/>
  <c r="K212" i="1"/>
  <c r="P158" i="1"/>
  <c r="AB159" i="1" s="1"/>
  <c r="K213" i="1" l="1"/>
  <c r="Q212" i="1"/>
  <c r="P159" i="1"/>
  <c r="AB160" i="1" s="1"/>
  <c r="K214" i="1" l="1"/>
  <c r="Q213" i="1"/>
  <c r="P160" i="1"/>
  <c r="AB161" i="1" s="1"/>
  <c r="K215" i="1" l="1"/>
  <c r="Q214" i="1"/>
  <c r="P161" i="1"/>
  <c r="AB162" i="1" s="1"/>
  <c r="Q215" i="1" l="1"/>
  <c r="K216" i="1"/>
  <c r="P162" i="1"/>
  <c r="AB163" i="1" s="1"/>
  <c r="Q216" i="1" l="1"/>
  <c r="K217" i="1"/>
  <c r="P163" i="1"/>
  <c r="AB164" i="1" s="1"/>
  <c r="K218" i="1" l="1"/>
  <c r="Q217" i="1"/>
  <c r="P164" i="1"/>
  <c r="AB165" i="1" s="1"/>
  <c r="Q218" i="1" l="1"/>
  <c r="K219" i="1"/>
  <c r="P165" i="1"/>
  <c r="AB166" i="1" s="1"/>
  <c r="Q219" i="1" l="1"/>
  <c r="K220" i="1"/>
  <c r="P166" i="1"/>
  <c r="AB167" i="1" s="1"/>
  <c r="K221" i="1" l="1"/>
  <c r="Q220" i="1"/>
  <c r="P167" i="1"/>
  <c r="AB168" i="1" s="1"/>
  <c r="Q221" i="1" l="1"/>
  <c r="K222" i="1"/>
  <c r="P168" i="1"/>
  <c r="AB169" i="1" s="1"/>
  <c r="Q222" i="1" l="1"/>
  <c r="K223" i="1"/>
  <c r="P169" i="1"/>
  <c r="AB170" i="1" s="1"/>
  <c r="K224" i="1" l="1"/>
  <c r="Q223" i="1"/>
  <c r="P170" i="1"/>
  <c r="AB171" i="1" s="1"/>
  <c r="K225" i="1" l="1"/>
  <c r="Q224" i="1"/>
  <c r="P171" i="1"/>
  <c r="AB172" i="1" s="1"/>
  <c r="K226" i="1" l="1"/>
  <c r="Q225" i="1"/>
  <c r="P172" i="1"/>
  <c r="AB173" i="1" s="1"/>
  <c r="K227" i="1" l="1"/>
  <c r="Q226" i="1"/>
  <c r="P173" i="1"/>
  <c r="AB174" i="1" s="1"/>
  <c r="Q227" i="1" l="1"/>
  <c r="K228" i="1"/>
  <c r="P174" i="1"/>
  <c r="AB175" i="1" s="1"/>
  <c r="K229" i="1" l="1"/>
  <c r="Q228" i="1"/>
  <c r="P175" i="1"/>
  <c r="AB176" i="1" s="1"/>
  <c r="K230" i="1" l="1"/>
  <c r="Q229" i="1"/>
  <c r="P176" i="1"/>
  <c r="AB177" i="1" s="1"/>
  <c r="Q230" i="1" l="1"/>
  <c r="K231" i="1"/>
  <c r="P177" i="1"/>
  <c r="AB178" i="1" s="1"/>
  <c r="Q231" i="1" l="1"/>
  <c r="K232" i="1"/>
  <c r="P178" i="1"/>
  <c r="AB179" i="1" s="1"/>
  <c r="K233" i="1" l="1"/>
  <c r="Q232" i="1"/>
  <c r="P179" i="1"/>
  <c r="AB180" i="1" s="1"/>
  <c r="K234" i="1" l="1"/>
  <c r="Q233" i="1"/>
  <c r="P180" i="1"/>
  <c r="AB181" i="1" s="1"/>
  <c r="Q234" i="1" l="1"/>
  <c r="K235" i="1"/>
  <c r="P181" i="1"/>
  <c r="AB182" i="1" s="1"/>
  <c r="Q235" i="1" l="1"/>
  <c r="K236" i="1"/>
  <c r="P182" i="1"/>
  <c r="AB183" i="1" s="1"/>
  <c r="K237" i="1" l="1"/>
  <c r="Q236" i="1"/>
  <c r="P183" i="1"/>
  <c r="AB184" i="1" s="1"/>
  <c r="K238" i="1" l="1"/>
  <c r="Q237" i="1"/>
  <c r="P184" i="1"/>
  <c r="AB185" i="1" s="1"/>
  <c r="K239" i="1" l="1"/>
  <c r="Q238" i="1"/>
  <c r="P185" i="1"/>
  <c r="AB186" i="1" s="1"/>
  <c r="Q239" i="1" l="1"/>
  <c r="K240" i="1"/>
  <c r="P186" i="1"/>
  <c r="AB187" i="1" s="1"/>
  <c r="Q240" i="1" l="1"/>
  <c r="K241" i="1"/>
  <c r="P187" i="1"/>
  <c r="AB188" i="1" s="1"/>
  <c r="K242" i="1" l="1"/>
  <c r="Q241" i="1"/>
  <c r="P188" i="1"/>
  <c r="AB189" i="1" s="1"/>
  <c r="Q242" i="1" l="1"/>
  <c r="K243" i="1"/>
  <c r="P189" i="1"/>
  <c r="AB190" i="1" s="1"/>
  <c r="K244" i="1" l="1"/>
  <c r="Q243" i="1"/>
  <c r="P190" i="1"/>
  <c r="AB191" i="1" s="1"/>
  <c r="K245" i="1" l="1"/>
  <c r="Q244" i="1"/>
  <c r="P191" i="1"/>
  <c r="AB192" i="1" s="1"/>
  <c r="Q245" i="1" l="1"/>
  <c r="K246" i="1"/>
  <c r="P192" i="1"/>
  <c r="AB193" i="1" s="1"/>
  <c r="K247" i="1" l="1"/>
  <c r="Q246" i="1"/>
  <c r="P193" i="1"/>
  <c r="AB194" i="1" s="1"/>
  <c r="Q247" i="1" l="1"/>
  <c r="K248" i="1"/>
  <c r="P194" i="1"/>
  <c r="AB195" i="1" s="1"/>
  <c r="K249" i="1" l="1"/>
  <c r="Q248" i="1"/>
  <c r="P195" i="1"/>
  <c r="AB196" i="1" s="1"/>
  <c r="K250" i="1" l="1"/>
  <c r="Q249" i="1"/>
  <c r="P196" i="1"/>
  <c r="AB197" i="1" s="1"/>
  <c r="Q250" i="1" l="1"/>
  <c r="K251" i="1"/>
  <c r="P197" i="1"/>
  <c r="AB198" i="1" s="1"/>
  <c r="K252" i="1" l="1"/>
  <c r="Q251" i="1"/>
  <c r="P198" i="1"/>
  <c r="AB199" i="1" s="1"/>
  <c r="K253" i="1" l="1"/>
  <c r="Q252" i="1"/>
  <c r="P199" i="1"/>
  <c r="AB200" i="1" s="1"/>
  <c r="K254" i="1" l="1"/>
  <c r="Q253" i="1"/>
  <c r="P200" i="1"/>
  <c r="AB201" i="1" s="1"/>
  <c r="K255" i="1" l="1"/>
  <c r="Q254" i="1"/>
  <c r="P201" i="1"/>
  <c r="AB202" i="1" s="1"/>
  <c r="Q255" i="1" l="1"/>
  <c r="K256" i="1"/>
  <c r="P202" i="1"/>
  <c r="AB203" i="1" s="1"/>
  <c r="K257" i="1" l="1"/>
  <c r="Q256" i="1"/>
  <c r="P203" i="1"/>
  <c r="AB204" i="1" s="1"/>
  <c r="Q257" i="1" l="1"/>
  <c r="K258" i="1"/>
  <c r="P204" i="1"/>
  <c r="AB205" i="1" s="1"/>
  <c r="K259" i="1" l="1"/>
  <c r="Q258" i="1"/>
  <c r="P205" i="1"/>
  <c r="AB206" i="1" s="1"/>
  <c r="Q259" i="1" l="1"/>
  <c r="K260" i="1"/>
  <c r="P206" i="1"/>
  <c r="AB207" i="1" s="1"/>
  <c r="Q260" i="1" l="1"/>
  <c r="K261" i="1"/>
  <c r="P207" i="1"/>
  <c r="AB208" i="1" s="1"/>
  <c r="K262" i="1" l="1"/>
  <c r="Q261" i="1"/>
  <c r="P208" i="1"/>
  <c r="AB209" i="1" s="1"/>
  <c r="K263" i="1" l="1"/>
  <c r="Q262" i="1"/>
  <c r="P209" i="1"/>
  <c r="AB210" i="1" s="1"/>
  <c r="Q263" i="1" l="1"/>
  <c r="K264" i="1"/>
  <c r="P210" i="1"/>
  <c r="AB211" i="1" s="1"/>
  <c r="Q264" i="1" l="1"/>
  <c r="K265" i="1"/>
  <c r="P211" i="1"/>
  <c r="AB212" i="1" s="1"/>
  <c r="K266" i="1" l="1"/>
  <c r="Q265" i="1"/>
  <c r="P212" i="1"/>
  <c r="AB213" i="1" s="1"/>
  <c r="K267" i="1" l="1"/>
  <c r="Q266" i="1"/>
  <c r="P213" i="1"/>
  <c r="AB214" i="1" s="1"/>
  <c r="Q267" i="1" l="1"/>
  <c r="K268" i="1"/>
  <c r="P214" i="1"/>
  <c r="AB215" i="1" s="1"/>
  <c r="K269" i="1" l="1"/>
  <c r="Q268" i="1"/>
  <c r="P215" i="1"/>
  <c r="AB216" i="1" s="1"/>
  <c r="K270" i="1" l="1"/>
  <c r="Q269" i="1"/>
  <c r="P216" i="1"/>
  <c r="AB217" i="1" s="1"/>
  <c r="Q270" i="1" l="1"/>
  <c r="K271" i="1"/>
  <c r="P217" i="1"/>
  <c r="AB218" i="1" s="1"/>
  <c r="Q271" i="1" l="1"/>
  <c r="K272" i="1"/>
  <c r="P218" i="1"/>
  <c r="AB219" i="1" s="1"/>
  <c r="K273" i="1" l="1"/>
  <c r="Q272" i="1"/>
  <c r="P219" i="1"/>
  <c r="AB220" i="1" s="1"/>
  <c r="K274" i="1" l="1"/>
  <c r="Q273" i="1"/>
  <c r="P220" i="1"/>
  <c r="AB221" i="1" s="1"/>
  <c r="Q274" i="1" l="1"/>
  <c r="K275" i="1"/>
  <c r="Q275" i="1" s="1"/>
  <c r="P221" i="1"/>
  <c r="AB222" i="1" s="1"/>
  <c r="P222" i="1" l="1"/>
  <c r="AB223" i="1" s="1"/>
  <c r="P223" i="1" l="1"/>
  <c r="AB224" i="1" s="1"/>
  <c r="P224" i="1" l="1"/>
  <c r="AB225" i="1" s="1"/>
  <c r="P225" i="1" l="1"/>
  <c r="AB226" i="1" s="1"/>
  <c r="P226" i="1" l="1"/>
  <c r="AB227" i="1" s="1"/>
  <c r="P227" i="1" l="1"/>
  <c r="AB228" i="1" s="1"/>
  <c r="P228" i="1" l="1"/>
  <c r="AB229" i="1" s="1"/>
  <c r="P229" i="1" l="1"/>
  <c r="AB230" i="1" s="1"/>
  <c r="P230" i="1" l="1"/>
  <c r="AB231" i="1" s="1"/>
  <c r="P231" i="1" l="1"/>
  <c r="AB232" i="1" s="1"/>
  <c r="P232" i="1" l="1"/>
  <c r="AB233" i="1" s="1"/>
  <c r="P233" i="1" l="1"/>
  <c r="AB234" i="1" s="1"/>
  <c r="P234" i="1" l="1"/>
  <c r="AB235" i="1" s="1"/>
  <c r="P235" i="1" l="1"/>
  <c r="AB236" i="1" s="1"/>
  <c r="P236" i="1" l="1"/>
  <c r="AB237" i="1" s="1"/>
  <c r="P237" i="1" l="1"/>
  <c r="AB238" i="1" s="1"/>
  <c r="P238" i="1" l="1"/>
  <c r="AB239" i="1" s="1"/>
  <c r="P239" i="1" l="1"/>
  <c r="AB240" i="1" s="1"/>
  <c r="P240" i="1" l="1"/>
  <c r="P241" i="1" s="1"/>
  <c r="P242" i="1" s="1"/>
  <c r="AB241" i="1" l="1"/>
  <c r="AB242" i="1" s="1"/>
  <c r="AB243" i="1" s="1"/>
  <c r="AB244" i="1" s="1"/>
  <c r="P243" i="1"/>
  <c r="P244" i="1" l="1"/>
  <c r="P245" i="1" s="1"/>
  <c r="P246" i="1" s="1"/>
  <c r="P247" i="1" s="1"/>
  <c r="P248" i="1" s="1"/>
  <c r="AB245" i="1" l="1"/>
  <c r="AB246" i="1" s="1"/>
  <c r="AB247" i="1" s="1"/>
  <c r="AB248" i="1" s="1"/>
  <c r="AB249" i="1" s="1"/>
  <c r="AB250" i="1" s="1"/>
  <c r="P249" i="1"/>
  <c r="P250" i="1" l="1"/>
  <c r="AB251" i="1" s="1"/>
  <c r="P251" i="1" l="1"/>
  <c r="AB252" i="1" s="1"/>
  <c r="P252" i="1" l="1"/>
  <c r="AB253" i="1" s="1"/>
  <c r="P253" i="1" l="1"/>
  <c r="AB254" i="1" s="1"/>
  <c r="P254" i="1" l="1"/>
  <c r="AB255" i="1" s="1"/>
  <c r="P255" i="1" l="1"/>
  <c r="AB256" i="1" s="1"/>
  <c r="P256" i="1" l="1"/>
  <c r="AB257" i="1" s="1"/>
  <c r="P257" i="1" l="1"/>
  <c r="AB258" i="1" s="1"/>
  <c r="P258" i="1" l="1"/>
  <c r="AB259" i="1" s="1"/>
  <c r="P259" i="1" l="1"/>
  <c r="AB260" i="1" s="1"/>
  <c r="P260" i="1" l="1"/>
  <c r="P261" i="1" s="1"/>
  <c r="AB261" i="1" l="1"/>
  <c r="AB262" i="1" s="1"/>
  <c r="AB263" i="1" s="1"/>
  <c r="P262" i="1"/>
  <c r="P263" i="1" l="1"/>
  <c r="AB264" i="1" s="1"/>
  <c r="P264" i="1" l="1"/>
  <c r="AB265" i="1" s="1"/>
  <c r="P265" i="1" l="1"/>
  <c r="AB266" i="1" s="1"/>
  <c r="P266" i="1" l="1"/>
  <c r="AB267" i="1" s="1"/>
  <c r="P267" i="1" l="1"/>
  <c r="P268" i="1" s="1"/>
  <c r="P269" i="1" s="1"/>
  <c r="P270" i="1" s="1"/>
  <c r="P271" i="1" s="1"/>
  <c r="P272" i="1" s="1"/>
  <c r="P273" i="1" s="1"/>
  <c r="P274" i="1" s="1"/>
  <c r="P275" i="1" s="1"/>
  <c r="AB268" i="1" l="1"/>
  <c r="AB269" i="1" s="1"/>
  <c r="AB270" i="1" l="1"/>
  <c r="AB271" i="1" s="1"/>
  <c r="AB272" i="1" s="1"/>
  <c r="AB273" i="1" s="1"/>
  <c r="AB274" i="1" s="1"/>
  <c r="AB275" i="1" s="1"/>
  <c r="AB2" i="1" s="1"/>
  <c r="BL7" i="1"/>
  <c r="BM7" i="1" l="1"/>
  <c r="BN7" i="1"/>
  <c r="T6" i="1"/>
  <c r="Y6" i="1"/>
  <c r="AS6" i="1"/>
  <c r="AY7" i="1"/>
  <c r="BA7" i="1" s="1"/>
  <c r="BO7" i="1" l="1"/>
  <c r="BL8" i="1"/>
  <c r="AT6" i="1"/>
  <c r="AZ6" i="1"/>
  <c r="AU6" i="1"/>
  <c r="V6" i="1"/>
  <c r="G6" i="1"/>
  <c r="AA6" i="1"/>
  <c r="E6" i="1"/>
  <c r="AY8" i="1"/>
  <c r="BA8" i="1" s="1"/>
  <c r="BB6" i="1" l="1"/>
  <c r="F6" i="1"/>
  <c r="CB6" i="1" s="1"/>
  <c r="BX7" i="1" s="1"/>
  <c r="N7" i="1"/>
  <c r="O7" i="1"/>
  <c r="BM12" i="1"/>
  <c r="BN12" i="1"/>
  <c r="BM15" i="1"/>
  <c r="BN15" i="1"/>
  <c r="BN11" i="1"/>
  <c r="BM11" i="1"/>
  <c r="BM14" i="1"/>
  <c r="BN14" i="1"/>
  <c r="BM16" i="1"/>
  <c r="BN16" i="1"/>
  <c r="BN10" i="1"/>
  <c r="BM10" i="1"/>
  <c r="BM9" i="1"/>
  <c r="BN9" i="1"/>
  <c r="BN8" i="1"/>
  <c r="BM8" i="1"/>
  <c r="BN13" i="1"/>
  <c r="BM13" i="1"/>
  <c r="BN17" i="1"/>
  <c r="BM17" i="1"/>
  <c r="BI6" i="1"/>
  <c r="BH6" i="1"/>
  <c r="AW6" i="1"/>
  <c r="AV6" i="1"/>
  <c r="BS6" i="1"/>
  <c r="BT6" i="1"/>
  <c r="AY9" i="1"/>
  <c r="BA9" i="1" s="1"/>
  <c r="CF6" i="1" l="1"/>
  <c r="H6" i="1"/>
  <c r="J6" i="1" s="1"/>
  <c r="CM6" i="1"/>
  <c r="CN6" i="1" s="1"/>
  <c r="CJ6" i="1"/>
  <c r="BV6" i="1"/>
  <c r="BR7" i="1" s="1"/>
  <c r="BC6" i="1"/>
  <c r="AD6" i="1"/>
  <c r="BO13" i="1"/>
  <c r="BO12" i="1"/>
  <c r="BO15" i="1"/>
  <c r="BO9" i="1"/>
  <c r="BO16" i="1"/>
  <c r="BO14" i="1"/>
  <c r="BO10" i="1"/>
  <c r="BL11" i="1"/>
  <c r="BL9" i="1"/>
  <c r="BL15" i="1"/>
  <c r="BL10" i="1"/>
  <c r="BL12" i="1"/>
  <c r="BL16" i="1"/>
  <c r="BL14" i="1"/>
  <c r="BL17" i="1"/>
  <c r="BL13" i="1"/>
  <c r="BO17" i="1"/>
  <c r="Y7" i="1"/>
  <c r="BO11" i="1"/>
  <c r="BO8" i="1"/>
  <c r="BY7" i="1"/>
  <c r="BZ7" i="1"/>
  <c r="CE7" i="1"/>
  <c r="CG6" i="1"/>
  <c r="CD7" i="1"/>
  <c r="AS7" i="1"/>
  <c r="BG7" i="1"/>
  <c r="T7" i="1"/>
  <c r="AY10" i="1"/>
  <c r="BA10" i="1" s="1"/>
  <c r="AY11" i="1" l="1"/>
  <c r="BA11" i="1" s="1"/>
  <c r="AY12" i="1" s="1"/>
  <c r="BA12" i="1" s="1"/>
  <c r="AE6" i="1"/>
  <c r="V7" i="1"/>
  <c r="CA7" i="1"/>
  <c r="AA7" i="1"/>
  <c r="E7" i="1"/>
  <c r="AZ7" i="1"/>
  <c r="AT7" i="1"/>
  <c r="AU7" i="1"/>
  <c r="G7" i="1"/>
  <c r="O8" i="1" l="1"/>
  <c r="BB7" i="1"/>
  <c r="F7" i="1"/>
  <c r="CM7" i="1" s="1"/>
  <c r="CN7" i="1" s="1"/>
  <c r="N8" i="1"/>
  <c r="AY13" i="1"/>
  <c r="BA13" i="1" s="1"/>
  <c r="BI7" i="1"/>
  <c r="BH7" i="1"/>
  <c r="AV7" i="1"/>
  <c r="AW7" i="1"/>
  <c r="BT7" i="1"/>
  <c r="BS7" i="1"/>
  <c r="BV7" i="1"/>
  <c r="H7" i="1" l="1"/>
  <c r="J7" i="1" s="1"/>
  <c r="BC7" i="1"/>
  <c r="CB7" i="1"/>
  <c r="BX8" i="1" s="1"/>
  <c r="CJ7" i="1"/>
  <c r="CF7" i="1"/>
  <c r="CG7" i="1" s="1"/>
  <c r="AD7" i="1"/>
  <c r="Y8" i="1"/>
  <c r="BZ8" i="1"/>
  <c r="CE8" i="1"/>
  <c r="BY8" i="1"/>
  <c r="AS8" i="1"/>
  <c r="AY14" i="1"/>
  <c r="BA14" i="1" s="1"/>
  <c r="BR8" i="1"/>
  <c r="T8" i="1"/>
  <c r="BG8" i="1"/>
  <c r="CD8" i="1" l="1"/>
  <c r="AE7" i="1"/>
  <c r="V8" i="1"/>
  <c r="O9" i="1"/>
  <c r="CA8" i="1"/>
  <c r="AU8" i="1"/>
  <c r="AT8" i="1"/>
  <c r="AZ8" i="1"/>
  <c r="E8" i="1"/>
  <c r="AA8" i="1"/>
  <c r="AY15" i="1"/>
  <c r="BA15" i="1" s="1"/>
  <c r="G8" i="1"/>
  <c r="BB8" i="1" l="1"/>
  <c r="F8" i="1"/>
  <c r="H8" i="1" s="1"/>
  <c r="N9" i="1"/>
  <c r="CJ8" i="1"/>
  <c r="AV8" i="1"/>
  <c r="AW8" i="1"/>
  <c r="AY16" i="1"/>
  <c r="BA16" i="1" s="1"/>
  <c r="AY17" i="1" s="1"/>
  <c r="BA17" i="1" s="1"/>
  <c r="BH8" i="1"/>
  <c r="BI8" i="1"/>
  <c r="BS8" i="1"/>
  <c r="BT8" i="1"/>
  <c r="BV8" i="1" l="1"/>
  <c r="BR9" i="1" s="1"/>
  <c r="BC8" i="1"/>
  <c r="CM8" i="1"/>
  <c r="CN8" i="1" s="1"/>
  <c r="CB8" i="1"/>
  <c r="BX9" i="1" s="1"/>
  <c r="CF8" i="1"/>
  <c r="CG8" i="1" s="1"/>
  <c r="J8" i="1"/>
  <c r="AD8" i="1"/>
  <c r="Y9" i="1"/>
  <c r="BY9" i="1"/>
  <c r="BZ9" i="1"/>
  <c r="CE9" i="1"/>
  <c r="AS9" i="1"/>
  <c r="BG9" i="1"/>
  <c r="T9" i="1"/>
  <c r="CD9" i="1" l="1"/>
  <c r="AE8" i="1"/>
  <c r="V9" i="1"/>
  <c r="O10" i="1"/>
  <c r="CA9" i="1"/>
  <c r="AT9" i="1"/>
  <c r="AZ9" i="1"/>
  <c r="AU9" i="1"/>
  <c r="E9" i="1"/>
  <c r="AA9" i="1"/>
  <c r="G9" i="1"/>
  <c r="BB9" i="1" l="1"/>
  <c r="F9" i="1"/>
  <c r="BV9" i="1" s="1"/>
  <c r="N10" i="1"/>
  <c r="H9" i="1"/>
  <c r="AW9" i="1"/>
  <c r="AV9" i="1"/>
  <c r="BT9" i="1"/>
  <c r="BS9" i="1"/>
  <c r="BI9" i="1"/>
  <c r="BH9" i="1"/>
  <c r="CM9" i="1" l="1"/>
  <c r="CN9" i="1" s="1"/>
  <c r="CJ9" i="1"/>
  <c r="CF9" i="1"/>
  <c r="CG9" i="1" s="1"/>
  <c r="CB9" i="1"/>
  <c r="BX10" i="1" s="1"/>
  <c r="BC9" i="1"/>
  <c r="J9" i="1"/>
  <c r="AD9" i="1"/>
  <c r="AE9" i="1" s="1"/>
  <c r="AS10" i="1"/>
  <c r="Y10" i="1"/>
  <c r="CE10" i="1"/>
  <c r="BZ10" i="1"/>
  <c r="BY10" i="1"/>
  <c r="T10" i="1"/>
  <c r="V10" i="1" s="1"/>
  <c r="BR10" i="1"/>
  <c r="BG10" i="1"/>
  <c r="CD10" i="1" l="1"/>
  <c r="O11" i="1"/>
  <c r="CA10" i="1"/>
  <c r="E10" i="1"/>
  <c r="AA10" i="1"/>
  <c r="AZ10" i="1"/>
  <c r="AU10" i="1"/>
  <c r="AT10" i="1"/>
  <c r="G10" i="1"/>
  <c r="BB10" i="1" l="1"/>
  <c r="F10" i="1"/>
  <c r="H10" i="1" s="1"/>
  <c r="N11" i="1"/>
  <c r="AV10" i="1"/>
  <c r="AW10" i="1"/>
  <c r="BT10" i="1"/>
  <c r="BS10" i="1"/>
  <c r="BH10" i="1"/>
  <c r="BI10" i="1"/>
  <c r="AY18" i="1"/>
  <c r="BA18" i="1" s="1"/>
  <c r="CF10" i="1" l="1"/>
  <c r="CG10" i="1" s="1"/>
  <c r="CB10" i="1"/>
  <c r="BX11" i="1" s="1"/>
  <c r="CJ10" i="1"/>
  <c r="CM10" i="1"/>
  <c r="CN10" i="1" s="1"/>
  <c r="BV10" i="1"/>
  <c r="BR11" i="1" s="1"/>
  <c r="BC10" i="1"/>
  <c r="J10" i="1"/>
  <c r="AD10" i="1"/>
  <c r="AE10" i="1" s="1"/>
  <c r="Y11" i="1"/>
  <c r="BY11" i="1"/>
  <c r="CE11" i="1"/>
  <c r="BZ11" i="1"/>
  <c r="AS11" i="1"/>
  <c r="BG11" i="1"/>
  <c r="T11" i="1"/>
  <c r="V11" i="1" s="1"/>
  <c r="CD11" i="1" l="1"/>
  <c r="O12" i="1"/>
  <c r="CA11" i="1"/>
  <c r="AT11" i="1"/>
  <c r="AU11" i="1"/>
  <c r="AZ11" i="1"/>
  <c r="BB11" i="1" s="1"/>
  <c r="BC11" i="1" s="1"/>
  <c r="AA11" i="1"/>
  <c r="E11" i="1"/>
  <c r="F11" i="1" s="1"/>
  <c r="AD11" i="1" s="1"/>
  <c r="G11" i="1"/>
  <c r="BI11" i="1"/>
  <c r="BH11" i="1" s="1"/>
  <c r="BG12" i="1" s="1"/>
  <c r="BL18" i="1"/>
  <c r="BM18" i="1" s="1"/>
  <c r="N12" i="1" l="1"/>
  <c r="CJ11" i="1"/>
  <c r="CF11" i="1"/>
  <c r="AE11" i="1"/>
  <c r="CB11" i="1"/>
  <c r="BX12" i="1" s="1"/>
  <c r="CM11" i="1"/>
  <c r="CN11" i="1" s="1"/>
  <c r="AV11" i="1"/>
  <c r="AW11" i="1"/>
  <c r="H11" i="1"/>
  <c r="J11" i="1" s="1"/>
  <c r="T12" i="1"/>
  <c r="V12" i="1" s="1"/>
  <c r="BS11" i="1"/>
  <c r="BT11" i="1"/>
  <c r="BV11" i="1"/>
  <c r="AY19" i="1"/>
  <c r="BA19" i="1" s="1"/>
  <c r="BN18" i="1"/>
  <c r="O13" i="1" l="1"/>
  <c r="Y12" i="1"/>
  <c r="CE12" i="1"/>
  <c r="BY12" i="1"/>
  <c r="BZ12" i="1"/>
  <c r="AS12" i="1"/>
  <c r="CG11" i="1"/>
  <c r="CD12" i="1"/>
  <c r="BR12" i="1"/>
  <c r="G12" i="1"/>
  <c r="BI12" i="1"/>
  <c r="BH12" i="1" s="1"/>
  <c r="BO18" i="1"/>
  <c r="BL19" i="1"/>
  <c r="CA12" i="1" l="1"/>
  <c r="AZ12" i="1"/>
  <c r="BB12" i="1" s="1"/>
  <c r="BC12" i="1" s="1"/>
  <c r="AU12" i="1"/>
  <c r="AT12" i="1"/>
  <c r="E12" i="1"/>
  <c r="F12" i="1" s="1"/>
  <c r="AA12" i="1"/>
  <c r="N13" i="1" s="1"/>
  <c r="BG13" i="1"/>
  <c r="BS12" i="1"/>
  <c r="BT12" i="1"/>
  <c r="BM19" i="1"/>
  <c r="BN19" i="1"/>
  <c r="H12" i="1" l="1"/>
  <c r="J12" i="1" s="1"/>
  <c r="AD12" i="1"/>
  <c r="BV12" i="1"/>
  <c r="BR13" i="1" s="1"/>
  <c r="CJ12" i="1"/>
  <c r="CF12" i="1"/>
  <c r="CB12" i="1"/>
  <c r="BX13" i="1" s="1"/>
  <c r="CM12" i="1"/>
  <c r="CN12" i="1" s="1"/>
  <c r="AV12" i="1"/>
  <c r="AW12" i="1"/>
  <c r="T13" i="1"/>
  <c r="V13" i="1" s="1"/>
  <c r="O14" i="1" s="1"/>
  <c r="BO19" i="1"/>
  <c r="AS13" i="1" l="1"/>
  <c r="CG12" i="1"/>
  <c r="CD13" i="1"/>
  <c r="AE12" i="1"/>
  <c r="BZ13" i="1"/>
  <c r="BY13" i="1"/>
  <c r="CE13" i="1"/>
  <c r="Y13" i="1"/>
  <c r="BI13" i="1"/>
  <c r="BH13" i="1" s="1"/>
  <c r="G13" i="1"/>
  <c r="CA13" i="1" l="1"/>
  <c r="AT13" i="1"/>
  <c r="AU13" i="1" s="1"/>
  <c r="AZ13" i="1"/>
  <c r="BB13" i="1" s="1"/>
  <c r="BC13" i="1" s="1"/>
  <c r="E13" i="1"/>
  <c r="F13" i="1" s="1"/>
  <c r="AA13" i="1"/>
  <c r="N14" i="1" s="1"/>
  <c r="BG14" i="1"/>
  <c r="BT13" i="1"/>
  <c r="BS13" i="1" s="1"/>
  <c r="BL20" i="1"/>
  <c r="BM20" i="1" s="1"/>
  <c r="BV13" i="1" l="1"/>
  <c r="BR14" i="1" s="1"/>
  <c r="AD13" i="1"/>
  <c r="CB13" i="1"/>
  <c r="BX14" i="1" s="1"/>
  <c r="CJ13" i="1"/>
  <c r="CF13" i="1"/>
  <c r="CM13" i="1"/>
  <c r="CN13" i="1" s="1"/>
  <c r="AW13" i="1"/>
  <c r="AV13" i="1"/>
  <c r="H13" i="1"/>
  <c r="J13" i="1" s="1"/>
  <c r="T14" i="1"/>
  <c r="V14" i="1" s="1"/>
  <c r="O15" i="1" s="1"/>
  <c r="AY20" i="1"/>
  <c r="BA20" i="1" s="1"/>
  <c r="BN20" i="1"/>
  <c r="AS14" i="1" l="1"/>
  <c r="CG13" i="1"/>
  <c r="CD14" i="1"/>
  <c r="AE13" i="1"/>
  <c r="BY14" i="1"/>
  <c r="BZ14" i="1"/>
  <c r="CE14" i="1"/>
  <c r="Y14" i="1"/>
  <c r="BO20" i="1"/>
  <c r="BI14" i="1"/>
  <c r="BH14" i="1" s="1"/>
  <c r="G14" i="1"/>
  <c r="CA14" i="1" l="1"/>
  <c r="AT14" i="1"/>
  <c r="AU14" i="1" s="1"/>
  <c r="AZ14" i="1"/>
  <c r="BB14" i="1" s="1"/>
  <c r="BC14" i="1" s="1"/>
  <c r="E14" i="1"/>
  <c r="F14" i="1" s="1"/>
  <c r="AA14" i="1"/>
  <c r="N15" i="1" s="1"/>
  <c r="BG15" i="1"/>
  <c r="BT14" i="1"/>
  <c r="BS14" i="1" s="1"/>
  <c r="BV14" i="1" l="1"/>
  <c r="BR15" i="1" s="1"/>
  <c r="AD14" i="1"/>
  <c r="AV14" i="1"/>
  <c r="AW14" i="1"/>
  <c r="CF14" i="1"/>
  <c r="CJ14" i="1"/>
  <c r="CB14" i="1"/>
  <c r="BX15" i="1" s="1"/>
  <c r="CM14" i="1"/>
  <c r="CN14" i="1" s="1"/>
  <c r="H14" i="1"/>
  <c r="J14" i="1" s="1"/>
  <c r="T15" i="1"/>
  <c r="V15" i="1" s="1"/>
  <c r="O16" i="1" s="1"/>
  <c r="AE14" i="1" l="1"/>
  <c r="AS15" i="1"/>
  <c r="CE15" i="1"/>
  <c r="BZ15" i="1"/>
  <c r="BY15" i="1"/>
  <c r="CG14" i="1"/>
  <c r="CD15" i="1"/>
  <c r="Y15" i="1"/>
  <c r="G15" i="1"/>
  <c r="BI15" i="1"/>
  <c r="BH15" i="1" s="1"/>
  <c r="AT15" i="1" l="1"/>
  <c r="AU15" i="1" s="1"/>
  <c r="AZ15" i="1"/>
  <c r="BB15" i="1" s="1"/>
  <c r="BC15" i="1" s="1"/>
  <c r="CA15" i="1"/>
  <c r="E15" i="1"/>
  <c r="F15" i="1" s="1"/>
  <c r="AD15" i="1" s="1"/>
  <c r="AA15" i="1"/>
  <c r="N16" i="1" s="1"/>
  <c r="BG16" i="1"/>
  <c r="BT15" i="1"/>
  <c r="BS15" i="1" s="1"/>
  <c r="BV15" i="1" l="1"/>
  <c r="BR16" i="1" s="1"/>
  <c r="CF15" i="1"/>
  <c r="CB15" i="1"/>
  <c r="BX16" i="1" s="1"/>
  <c r="CJ15" i="1"/>
  <c r="CM15" i="1"/>
  <c r="CN15" i="1" s="1"/>
  <c r="H15" i="1"/>
  <c r="J15" i="1" s="1"/>
  <c r="AW15" i="1"/>
  <c r="AV15" i="1"/>
  <c r="T16" i="1"/>
  <c r="V16" i="1" s="1"/>
  <c r="O17" i="1" s="1"/>
  <c r="BL21" i="1"/>
  <c r="BM21" i="1" s="1"/>
  <c r="AS16" i="1" l="1"/>
  <c r="BY16" i="1"/>
  <c r="BZ16" i="1"/>
  <c r="CE16" i="1"/>
  <c r="Y16" i="1"/>
  <c r="AE15" i="1"/>
  <c r="CG15" i="1"/>
  <c r="CD16" i="1"/>
  <c r="AN6" i="1"/>
  <c r="AM6" i="1"/>
  <c r="G16" i="1"/>
  <c r="BI16" i="1"/>
  <c r="BH16" i="1" s="1"/>
  <c r="BN21" i="1"/>
  <c r="AY21" i="1"/>
  <c r="BA21" i="1" s="1"/>
  <c r="AL7" i="1" l="1"/>
  <c r="CA16" i="1"/>
  <c r="E16" i="1"/>
  <c r="F16" i="1" s="1"/>
  <c r="AD16" i="1" s="1"/>
  <c r="AA16" i="1"/>
  <c r="N17" i="1" s="1"/>
  <c r="AZ16" i="1"/>
  <c r="BB16" i="1" s="1"/>
  <c r="BC16" i="1" s="1"/>
  <c r="AT16" i="1"/>
  <c r="AU16" i="1"/>
  <c r="BO21" i="1"/>
  <c r="BL22" i="1"/>
  <c r="AY22" i="1"/>
  <c r="BA22" i="1" s="1"/>
  <c r="AO6" i="1"/>
  <c r="BG17" i="1"/>
  <c r="AI6" i="1"/>
  <c r="AH6" i="1"/>
  <c r="BT16" i="1"/>
  <c r="BS16" i="1" s="1"/>
  <c r="BV16" i="1" l="1"/>
  <c r="BR17" i="1" s="1"/>
  <c r="AG7" i="1"/>
  <c r="BM42" i="1"/>
  <c r="BN42" i="1"/>
  <c r="BM38" i="1"/>
  <c r="BN38" i="1"/>
  <c r="BM28" i="1"/>
  <c r="BN28" i="1"/>
  <c r="BM49" i="1"/>
  <c r="BN49" i="1"/>
  <c r="BM44" i="1"/>
  <c r="BN44" i="1"/>
  <c r="BM41" i="1"/>
  <c r="BN41" i="1"/>
  <c r="BM46" i="1"/>
  <c r="BN46" i="1"/>
  <c r="BM35" i="1"/>
  <c r="BN35" i="1"/>
  <c r="BM31" i="1"/>
  <c r="BN31" i="1"/>
  <c r="BM37" i="1"/>
  <c r="BN37" i="1"/>
  <c r="BM24" i="1"/>
  <c r="BN24" i="1"/>
  <c r="BM43" i="1"/>
  <c r="BN43" i="1"/>
  <c r="BM40" i="1"/>
  <c r="BN40" i="1"/>
  <c r="BM27" i="1"/>
  <c r="BN27" i="1"/>
  <c r="BM30" i="1"/>
  <c r="BN30" i="1"/>
  <c r="AW16" i="1"/>
  <c r="AV16" i="1"/>
  <c r="BM22" i="1"/>
  <c r="BN22" i="1"/>
  <c r="BM26" i="1"/>
  <c r="BN26" i="1"/>
  <c r="BM23" i="1"/>
  <c r="BN23" i="1"/>
  <c r="BM48" i="1"/>
  <c r="BN48" i="1"/>
  <c r="BM34" i="1"/>
  <c r="BN34" i="1"/>
  <c r="BM39" i="1"/>
  <c r="BN39" i="1"/>
  <c r="BM45" i="1"/>
  <c r="BN45" i="1"/>
  <c r="BM32" i="1"/>
  <c r="BN32" i="1"/>
  <c r="BM29" i="1"/>
  <c r="BN29" i="1"/>
  <c r="BM36" i="1"/>
  <c r="BN36" i="1"/>
  <c r="CF16" i="1"/>
  <c r="CB16" i="1"/>
  <c r="BX17" i="1" s="1"/>
  <c r="CJ16" i="1"/>
  <c r="CM16" i="1"/>
  <c r="CN16" i="1" s="1"/>
  <c r="BM33" i="1"/>
  <c r="BN33" i="1"/>
  <c r="BN47" i="1"/>
  <c r="BM47" i="1"/>
  <c r="BM25" i="1"/>
  <c r="BN25" i="1"/>
  <c r="H16" i="1"/>
  <c r="J16" i="1" s="1"/>
  <c r="AY23" i="1"/>
  <c r="BA23" i="1" s="1"/>
  <c r="AJ6" i="1"/>
  <c r="AN7" i="1"/>
  <c r="AM7" i="1"/>
  <c r="T17" i="1"/>
  <c r="V17" i="1" s="1"/>
  <c r="O18" i="1" s="1"/>
  <c r="BO30" i="1" l="1"/>
  <c r="BO31" i="1"/>
  <c r="AK6" i="1"/>
  <c r="BO44" i="1"/>
  <c r="AL8" i="1"/>
  <c r="BO39" i="1"/>
  <c r="BO40" i="1"/>
  <c r="BO35" i="1"/>
  <c r="BO42" i="1"/>
  <c r="BO25" i="1"/>
  <c r="BO37" i="1"/>
  <c r="BO24" i="1"/>
  <c r="BO33" i="1"/>
  <c r="BO41" i="1"/>
  <c r="BO34" i="1"/>
  <c r="BO22" i="1"/>
  <c r="BL36" i="1"/>
  <c r="BL29" i="1"/>
  <c r="BL32" i="1"/>
  <c r="BL38" i="1"/>
  <c r="BL45" i="1"/>
  <c r="BL39" i="1"/>
  <c r="BL50" i="1"/>
  <c r="BL49" i="1"/>
  <c r="BL48" i="1"/>
  <c r="BL23" i="1"/>
  <c r="BL26" i="1"/>
  <c r="BL30" i="1"/>
  <c r="BL33" i="1"/>
  <c r="BL34" i="1"/>
  <c r="BL42" i="1"/>
  <c r="BL27" i="1"/>
  <c r="BL40" i="1"/>
  <c r="BL43" i="1"/>
  <c r="BL24" i="1"/>
  <c r="BL37" i="1"/>
  <c r="BL31" i="1"/>
  <c r="BL28" i="1"/>
  <c r="BL47" i="1"/>
  <c r="BL35" i="1"/>
  <c r="BL46" i="1"/>
  <c r="BL41" i="1"/>
  <c r="BL44" i="1"/>
  <c r="BL25" i="1"/>
  <c r="BO36" i="1"/>
  <c r="BO43" i="1"/>
  <c r="BO46" i="1"/>
  <c r="BO32" i="1"/>
  <c r="AS17" i="1"/>
  <c r="BO28" i="1"/>
  <c r="Y17" i="1"/>
  <c r="BO48" i="1"/>
  <c r="BY17" i="1"/>
  <c r="BZ17" i="1"/>
  <c r="CE17" i="1"/>
  <c r="CG16" i="1"/>
  <c r="CD17" i="1"/>
  <c r="BO45" i="1"/>
  <c r="BO23" i="1"/>
  <c r="AE16" i="1"/>
  <c r="BO26" i="1"/>
  <c r="BO27" i="1"/>
  <c r="BO38" i="1"/>
  <c r="BO47" i="1"/>
  <c r="BO29" i="1"/>
  <c r="BO49" i="1"/>
  <c r="AY24" i="1"/>
  <c r="BA24" i="1" s="1"/>
  <c r="AY25" i="1" s="1"/>
  <c r="BA25" i="1" s="1"/>
  <c r="AO7" i="1"/>
  <c r="AI7" i="1"/>
  <c r="AH7" i="1"/>
  <c r="G17" i="1"/>
  <c r="BI17" i="1"/>
  <c r="BH17" i="1" s="1"/>
  <c r="AP6" i="1" l="1"/>
  <c r="BM50" i="1"/>
  <c r="BN50" i="1"/>
  <c r="AG8" i="1"/>
  <c r="CA17" i="1"/>
  <c r="E17" i="1"/>
  <c r="F17" i="1" s="1"/>
  <c r="AA17" i="1"/>
  <c r="N18" i="1" s="1"/>
  <c r="AU17" i="1"/>
  <c r="AZ17" i="1"/>
  <c r="BB17" i="1" s="1"/>
  <c r="BC17" i="1" s="1"/>
  <c r="AT17" i="1"/>
  <c r="AY26" i="1"/>
  <c r="BA26" i="1" s="1"/>
  <c r="AJ7" i="1"/>
  <c r="AM8" i="1"/>
  <c r="AN8" i="1"/>
  <c r="BG18" i="1"/>
  <c r="BT17" i="1"/>
  <c r="BS17" i="1" s="1"/>
  <c r="AK7" i="1" l="1"/>
  <c r="BV17" i="1"/>
  <c r="BR18" i="1" s="1"/>
  <c r="AD17" i="1"/>
  <c r="AE17" i="1" s="1"/>
  <c r="BO50" i="1"/>
  <c r="BL51" i="1"/>
  <c r="AL9" i="1"/>
  <c r="CF17" i="1"/>
  <c r="CB17" i="1"/>
  <c r="BX18" i="1" s="1"/>
  <c r="CJ17" i="1"/>
  <c r="CM17" i="1"/>
  <c r="CN17" i="1" s="1"/>
  <c r="AV17" i="1"/>
  <c r="AW17" i="1"/>
  <c r="H17" i="1"/>
  <c r="J17" i="1" s="1"/>
  <c r="AI8" i="1"/>
  <c r="AH8" i="1"/>
  <c r="AY27" i="1"/>
  <c r="BA27" i="1" s="1"/>
  <c r="AY28" i="1" s="1"/>
  <c r="BA28" i="1" s="1"/>
  <c r="AO8" i="1"/>
  <c r="T18" i="1"/>
  <c r="V18" i="1" s="1"/>
  <c r="O19" i="1" s="1"/>
  <c r="AP7" i="1" l="1"/>
  <c r="BM51" i="1"/>
  <c r="BN51" i="1"/>
  <c r="AG9" i="1"/>
  <c r="Y18" i="1"/>
  <c r="BY18" i="1"/>
  <c r="CE18" i="1"/>
  <c r="BZ18" i="1"/>
  <c r="AS18" i="1"/>
  <c r="CG17" i="1"/>
  <c r="CD18" i="1"/>
  <c r="AJ8" i="1"/>
  <c r="AY29" i="1"/>
  <c r="BA29" i="1" s="1"/>
  <c r="AM9" i="1"/>
  <c r="AN9" i="1"/>
  <c r="G18" i="1"/>
  <c r="AK8" i="1" l="1"/>
  <c r="BO51" i="1"/>
  <c r="BL52" i="1"/>
  <c r="AL10" i="1"/>
  <c r="CA18" i="1"/>
  <c r="AT18" i="1"/>
  <c r="AU18" i="1"/>
  <c r="AZ18" i="1"/>
  <c r="BB18" i="1" s="1"/>
  <c r="BC18" i="1" s="1"/>
  <c r="E18" i="1"/>
  <c r="F18" i="1" s="1"/>
  <c r="AA18" i="1"/>
  <c r="N19" i="1" s="1"/>
  <c r="AI9" i="1"/>
  <c r="AH9" i="1"/>
  <c r="AY30" i="1"/>
  <c r="BA30" i="1" s="1"/>
  <c r="AY31" i="1" s="1"/>
  <c r="BA31" i="1" s="1"/>
  <c r="BI18" i="1"/>
  <c r="BH18" i="1"/>
  <c r="BS18" i="1"/>
  <c r="BT18" i="1"/>
  <c r="AO9" i="1"/>
  <c r="AP8" i="1" l="1"/>
  <c r="BV18" i="1"/>
  <c r="AD18" i="1"/>
  <c r="AE18" i="1" s="1"/>
  <c r="BN52" i="1"/>
  <c r="BM52" i="1"/>
  <c r="AG10" i="1"/>
  <c r="AY32" i="1"/>
  <c r="BA32" i="1" s="1"/>
  <c r="AY33" i="1" s="1"/>
  <c r="BA33" i="1" s="1"/>
  <c r="AY34" i="1" s="1"/>
  <c r="BA34" i="1" s="1"/>
  <c r="AY35" i="1" s="1"/>
  <c r="BA35" i="1" s="1"/>
  <c r="AY36" i="1" s="1"/>
  <c r="BA36" i="1" s="1"/>
  <c r="AY37" i="1" s="1"/>
  <c r="BA37" i="1" s="1"/>
  <c r="AY38" i="1" s="1"/>
  <c r="BA38" i="1" s="1"/>
  <c r="AY39" i="1" s="1"/>
  <c r="BA39" i="1" s="1"/>
  <c r="AY40" i="1" s="1"/>
  <c r="BA40" i="1" s="1"/>
  <c r="AY41" i="1" s="1"/>
  <c r="BA41" i="1" s="1"/>
  <c r="AY42" i="1" s="1"/>
  <c r="BA42" i="1" s="1"/>
  <c r="AY43" i="1" s="1"/>
  <c r="BA43" i="1" s="1"/>
  <c r="AY44" i="1" s="1"/>
  <c r="BA44" i="1" s="1"/>
  <c r="AY45" i="1" s="1"/>
  <c r="BA45" i="1" s="1"/>
  <c r="AY46" i="1" s="1"/>
  <c r="BA46" i="1" s="1"/>
  <c r="AY47" i="1" s="1"/>
  <c r="BA47" i="1" s="1"/>
  <c r="AY48" i="1" s="1"/>
  <c r="BA48" i="1" s="1"/>
  <c r="AY49" i="1" s="1"/>
  <c r="BA49" i="1" s="1"/>
  <c r="AY50" i="1" s="1"/>
  <c r="BA50" i="1" s="1"/>
  <c r="AY51" i="1" s="1"/>
  <c r="BA51" i="1" s="1"/>
  <c r="AY52" i="1" s="1"/>
  <c r="BA52" i="1" s="1"/>
  <c r="AY53" i="1" s="1"/>
  <c r="BA53" i="1" s="1"/>
  <c r="AY54" i="1" s="1"/>
  <c r="BA54" i="1" s="1"/>
  <c r="AY55" i="1" s="1"/>
  <c r="BA55" i="1" s="1"/>
  <c r="AY56" i="1" s="1"/>
  <c r="BA56" i="1" s="1"/>
  <c r="AY57" i="1" s="1"/>
  <c r="BA57" i="1" s="1"/>
  <c r="AY58" i="1" s="1"/>
  <c r="BA58" i="1" s="1"/>
  <c r="AY59" i="1" s="1"/>
  <c r="BA59" i="1" s="1"/>
  <c r="AY60" i="1" s="1"/>
  <c r="BA60" i="1" s="1"/>
  <c r="AY61" i="1" s="1"/>
  <c r="BA61" i="1" s="1"/>
  <c r="AY62" i="1" s="1"/>
  <c r="BA62" i="1" s="1"/>
  <c r="AY63" i="1" s="1"/>
  <c r="BA63" i="1" s="1"/>
  <c r="AY64" i="1" s="1"/>
  <c r="BA64" i="1" s="1"/>
  <c r="AY65" i="1" s="1"/>
  <c r="BA65" i="1" s="1"/>
  <c r="AY66" i="1" s="1"/>
  <c r="BA66" i="1" s="1"/>
  <c r="AY67" i="1" s="1"/>
  <c r="BA67" i="1" s="1"/>
  <c r="AY68" i="1" s="1"/>
  <c r="BA68" i="1" s="1"/>
  <c r="AY69" i="1" s="1"/>
  <c r="BA69" i="1" s="1"/>
  <c r="AY70" i="1" s="1"/>
  <c r="BA70" i="1" s="1"/>
  <c r="AY71" i="1" s="1"/>
  <c r="BA71" i="1" s="1"/>
  <c r="AY72" i="1" s="1"/>
  <c r="BA72" i="1" s="1"/>
  <c r="AY73" i="1" s="1"/>
  <c r="BA73" i="1" s="1"/>
  <c r="AY74" i="1" s="1"/>
  <c r="BA74" i="1" s="1"/>
  <c r="AY75" i="1" s="1"/>
  <c r="BA75" i="1" s="1"/>
  <c r="AY76" i="1" s="1"/>
  <c r="BA76" i="1" s="1"/>
  <c r="AY77" i="1" s="1"/>
  <c r="BA77" i="1" s="1"/>
  <c r="AY78" i="1" s="1"/>
  <c r="BA78" i="1" s="1"/>
  <c r="AY79" i="1" s="1"/>
  <c r="BA79" i="1" s="1"/>
  <c r="AY80" i="1" s="1"/>
  <c r="BA80" i="1" s="1"/>
  <c r="AY81" i="1" s="1"/>
  <c r="BA81" i="1" s="1"/>
  <c r="AY82" i="1" s="1"/>
  <c r="BA82" i="1" s="1"/>
  <c r="AY83" i="1" s="1"/>
  <c r="BA83" i="1" s="1"/>
  <c r="AY84" i="1" s="1"/>
  <c r="BA84" i="1" s="1"/>
  <c r="AY85" i="1" s="1"/>
  <c r="BA85" i="1" s="1"/>
  <c r="AY86" i="1" s="1"/>
  <c r="BA86" i="1" s="1"/>
  <c r="AY87" i="1" s="1"/>
  <c r="BA87" i="1" s="1"/>
  <c r="AY88" i="1" s="1"/>
  <c r="BA88" i="1" s="1"/>
  <c r="AY89" i="1" s="1"/>
  <c r="BA89" i="1" s="1"/>
  <c r="AY90" i="1" s="1"/>
  <c r="BA90" i="1" s="1"/>
  <c r="AY91" i="1" s="1"/>
  <c r="BA91" i="1" s="1"/>
  <c r="AY92" i="1" s="1"/>
  <c r="BA92" i="1" s="1"/>
  <c r="AY93" i="1" s="1"/>
  <c r="BA93" i="1" s="1"/>
  <c r="AY94" i="1" s="1"/>
  <c r="BA94" i="1" s="1"/>
  <c r="AY95" i="1" s="1"/>
  <c r="BA95" i="1" s="1"/>
  <c r="AY96" i="1" s="1"/>
  <c r="BA96" i="1" s="1"/>
  <c r="AY97" i="1" s="1"/>
  <c r="BA97" i="1" s="1"/>
  <c r="AY98" i="1" s="1"/>
  <c r="BA98" i="1" s="1"/>
  <c r="AY99" i="1" s="1"/>
  <c r="BA99" i="1" s="1"/>
  <c r="AY100" i="1" s="1"/>
  <c r="BA100" i="1" s="1"/>
  <c r="AY101" i="1" s="1"/>
  <c r="BA101" i="1" s="1"/>
  <c r="AY102" i="1" s="1"/>
  <c r="BA102" i="1" s="1"/>
  <c r="CF18" i="1"/>
  <c r="CM18" i="1"/>
  <c r="CN18" i="1" s="1"/>
  <c r="CJ18" i="1"/>
  <c r="CB18" i="1"/>
  <c r="BX19" i="1" s="1"/>
  <c r="H18" i="1"/>
  <c r="J18" i="1" s="1"/>
  <c r="AJ9" i="1"/>
  <c r="AW18" i="1"/>
  <c r="AV18" i="1"/>
  <c r="T19" i="1"/>
  <c r="V19" i="1" s="1"/>
  <c r="O20" i="1" s="1"/>
  <c r="AN10" i="1"/>
  <c r="AM10" i="1"/>
  <c r="BR19" i="1"/>
  <c r="BG19" i="1"/>
  <c r="AK9" i="1" l="1"/>
  <c r="BO52" i="1"/>
  <c r="BL53" i="1"/>
  <c r="AL11" i="1"/>
  <c r="CE19" i="1"/>
  <c r="BZ19" i="1"/>
  <c r="BY19" i="1"/>
  <c r="CG18" i="1"/>
  <c r="CD19" i="1"/>
  <c r="AS19" i="1"/>
  <c r="AH10" i="1"/>
  <c r="AI10" i="1"/>
  <c r="Y19" i="1"/>
  <c r="AO10" i="1"/>
  <c r="G19" i="1"/>
  <c r="AP9" i="1" l="1"/>
  <c r="BN53" i="1"/>
  <c r="BM53" i="1"/>
  <c r="AG11" i="1"/>
  <c r="AT19" i="1"/>
  <c r="AZ19" i="1"/>
  <c r="BB19" i="1" s="1"/>
  <c r="BC19" i="1" s="1"/>
  <c r="AU19" i="1"/>
  <c r="AA19" i="1"/>
  <c r="N20" i="1" s="1"/>
  <c r="E19" i="1"/>
  <c r="F19" i="1" s="1"/>
  <c r="AJ10" i="1"/>
  <c r="CA19" i="1"/>
  <c r="BT19" i="1"/>
  <c r="BS19" i="1"/>
  <c r="AN11" i="1"/>
  <c r="AM11" i="1"/>
  <c r="BH19" i="1"/>
  <c r="BI19" i="1"/>
  <c r="AK10" i="1" l="1"/>
  <c r="H19" i="1"/>
  <c r="J19" i="1" s="1"/>
  <c r="AD19" i="1"/>
  <c r="AE19" i="1" s="1"/>
  <c r="BO53" i="1"/>
  <c r="BL54" i="1"/>
  <c r="AL12" i="1"/>
  <c r="CB19" i="1"/>
  <c r="BX20" i="1" s="1"/>
  <c r="CM19" i="1"/>
  <c r="CN19" i="1" s="1"/>
  <c r="CF19" i="1"/>
  <c r="CJ19" i="1"/>
  <c r="AV19" i="1"/>
  <c r="AW19" i="1"/>
  <c r="BV19" i="1"/>
  <c r="BR20" i="1" s="1"/>
  <c r="AI11" i="1"/>
  <c r="AH11" i="1"/>
  <c r="AO11" i="1"/>
  <c r="BG20" i="1"/>
  <c r="T20" i="1"/>
  <c r="V20" i="1" s="1"/>
  <c r="O21" i="1" s="1"/>
  <c r="AP10" i="1" l="1"/>
  <c r="BM54" i="1"/>
  <c r="BN54" i="1"/>
  <c r="AG12" i="1"/>
  <c r="AS20" i="1"/>
  <c r="AJ11" i="1"/>
  <c r="AK11" i="1" s="1"/>
  <c r="AP11" i="1" s="1"/>
  <c r="CG19" i="1"/>
  <c r="CD20" i="1"/>
  <c r="BY20" i="1"/>
  <c r="BZ20" i="1"/>
  <c r="CE20" i="1"/>
  <c r="Y20" i="1"/>
  <c r="AN12" i="1"/>
  <c r="AL13" i="1" s="1"/>
  <c r="AM12" i="1"/>
  <c r="G20" i="1"/>
  <c r="BO54" i="1" l="1"/>
  <c r="BL55" i="1"/>
  <c r="CA20" i="1"/>
  <c r="AT20" i="1"/>
  <c r="AZ20" i="1"/>
  <c r="BB20" i="1" s="1"/>
  <c r="BC20" i="1" s="1"/>
  <c r="AU20" i="1"/>
  <c r="E20" i="1"/>
  <c r="F20" i="1" s="1"/>
  <c r="AD20" i="1" s="1"/>
  <c r="AA20" i="1"/>
  <c r="N21" i="1" s="1"/>
  <c r="AH12" i="1"/>
  <c r="AI12" i="1"/>
  <c r="AG13" i="1" s="1"/>
  <c r="BS20" i="1"/>
  <c r="BT20" i="1"/>
  <c r="BH20" i="1"/>
  <c r="BI20" i="1"/>
  <c r="AO12" i="1"/>
  <c r="BM55" i="1" l="1"/>
  <c r="BN55" i="1"/>
  <c r="AE20" i="1"/>
  <c r="CJ20" i="1"/>
  <c r="CB20" i="1"/>
  <c r="BX21" i="1" s="1"/>
  <c r="CF20" i="1"/>
  <c r="CM20" i="1"/>
  <c r="CN20" i="1" s="1"/>
  <c r="AW20" i="1"/>
  <c r="AV20" i="1"/>
  <c r="AJ12" i="1"/>
  <c r="AK12" i="1" s="1"/>
  <c r="AP12" i="1" s="1"/>
  <c r="BV20" i="1"/>
  <c r="BR21" i="1" s="1"/>
  <c r="H20" i="1"/>
  <c r="J20" i="1" s="1"/>
  <c r="BG21" i="1"/>
  <c r="AM13" i="1"/>
  <c r="AN13" i="1"/>
  <c r="AL14" i="1" s="1"/>
  <c r="T21" i="1"/>
  <c r="V21" i="1" s="1"/>
  <c r="O22" i="1" s="1"/>
  <c r="BO55" i="1" l="1"/>
  <c r="BL56" i="1"/>
  <c r="AS21" i="1"/>
  <c r="CG20" i="1"/>
  <c r="CD21" i="1"/>
  <c r="AI13" i="1"/>
  <c r="AG14" i="1" s="1"/>
  <c r="AH13" i="1"/>
  <c r="BZ21" i="1"/>
  <c r="CE21" i="1"/>
  <c r="BY21" i="1"/>
  <c r="Y21" i="1"/>
  <c r="AO13" i="1"/>
  <c r="G21" i="1"/>
  <c r="BM56" i="1" l="1"/>
  <c r="BN56" i="1"/>
  <c r="CA21" i="1"/>
  <c r="AJ13" i="1"/>
  <c r="AK13" i="1" s="1"/>
  <c r="AP13" i="1" s="1"/>
  <c r="E21" i="1"/>
  <c r="F21" i="1" s="1"/>
  <c r="AA21" i="1"/>
  <c r="N22" i="1" s="1"/>
  <c r="AU21" i="1"/>
  <c r="AT21" i="1"/>
  <c r="AZ21" i="1"/>
  <c r="BB21" i="1" s="1"/>
  <c r="BC21" i="1" s="1"/>
  <c r="BS21" i="1"/>
  <c r="BT21" i="1"/>
  <c r="AN14" i="1"/>
  <c r="AL15" i="1" s="1"/>
  <c r="AM14" i="1"/>
  <c r="BH21" i="1"/>
  <c r="BI21" i="1"/>
  <c r="BV21" i="1" l="1"/>
  <c r="AD21" i="1"/>
  <c r="AE21" i="1" s="1"/>
  <c r="BO56" i="1"/>
  <c r="BL57" i="1"/>
  <c r="BR22" i="1"/>
  <c r="AW21" i="1"/>
  <c r="AV21" i="1"/>
  <c r="AI14" i="1"/>
  <c r="AG15" i="1" s="1"/>
  <c r="AH14" i="1"/>
  <c r="CJ21" i="1"/>
  <c r="CB21" i="1"/>
  <c r="BX22" i="1" s="1"/>
  <c r="CF21" i="1"/>
  <c r="CM21" i="1"/>
  <c r="CN21" i="1" s="1"/>
  <c r="H21" i="1"/>
  <c r="J21" i="1" s="1"/>
  <c r="BG22" i="1"/>
  <c r="AO14" i="1"/>
  <c r="T22" i="1"/>
  <c r="V22" i="1" s="1"/>
  <c r="O23" i="1" s="1"/>
  <c r="BM57" i="1" l="1"/>
  <c r="BN57" i="1"/>
  <c r="CG21" i="1"/>
  <c r="CD22" i="1"/>
  <c r="AJ14" i="1"/>
  <c r="AK14" i="1" s="1"/>
  <c r="AP14" i="1" s="1"/>
  <c r="BZ22" i="1"/>
  <c r="CE22" i="1"/>
  <c r="BY22" i="1"/>
  <c r="AS22" i="1"/>
  <c r="Y22" i="1"/>
  <c r="AM15" i="1"/>
  <c r="AN15" i="1"/>
  <c r="AL16" i="1" s="1"/>
  <c r="G22" i="1"/>
  <c r="BO57" i="1" l="1"/>
  <c r="BL58" i="1"/>
  <c r="AI15" i="1"/>
  <c r="AG16" i="1" s="1"/>
  <c r="AH15" i="1"/>
  <c r="E22" i="1"/>
  <c r="F22" i="1" s="1"/>
  <c r="AA22" i="1"/>
  <c r="N23" i="1" s="1"/>
  <c r="AZ22" i="1"/>
  <c r="BB22" i="1" s="1"/>
  <c r="BC22" i="1" s="1"/>
  <c r="AT22" i="1"/>
  <c r="AU22" i="1"/>
  <c r="H22" i="1"/>
  <c r="J22" i="1" s="1"/>
  <c r="CA22" i="1"/>
  <c r="BH22" i="1"/>
  <c r="BI22" i="1"/>
  <c r="BT22" i="1"/>
  <c r="BS22" i="1"/>
  <c r="AO15" i="1"/>
  <c r="BV22" i="1" l="1"/>
  <c r="AD22" i="1"/>
  <c r="AE22" i="1" s="1"/>
  <c r="BM58" i="1"/>
  <c r="BN58" i="1"/>
  <c r="BR23" i="1"/>
  <c r="AW22" i="1"/>
  <c r="AV22" i="1"/>
  <c r="CJ22" i="1"/>
  <c r="CM22" i="1"/>
  <c r="CN22" i="1" s="1"/>
  <c r="CB22" i="1"/>
  <c r="BX23" i="1" s="1"/>
  <c r="CF22" i="1"/>
  <c r="AJ15" i="1"/>
  <c r="AK15" i="1" s="1"/>
  <c r="AP15" i="1" s="1"/>
  <c r="T23" i="1"/>
  <c r="V23" i="1" s="1"/>
  <c r="O24" i="1" s="1"/>
  <c r="BG23" i="1"/>
  <c r="AM16" i="1"/>
  <c r="AN16" i="1"/>
  <c r="AL17" i="1" s="1"/>
  <c r="BO58" i="1" l="1"/>
  <c r="BL59" i="1"/>
  <c r="CG22" i="1"/>
  <c r="CD23" i="1"/>
  <c r="CE23" i="1"/>
  <c r="BY23" i="1"/>
  <c r="BZ23" i="1"/>
  <c r="Y23" i="1"/>
  <c r="AS23" i="1"/>
  <c r="AH16" i="1"/>
  <c r="AI16" i="1"/>
  <c r="AG17" i="1" s="1"/>
  <c r="AO16" i="1"/>
  <c r="G23" i="1"/>
  <c r="BM59" i="1" l="1"/>
  <c r="BN59" i="1"/>
  <c r="CA23" i="1"/>
  <c r="AJ16" i="1"/>
  <c r="AK16" i="1" s="1"/>
  <c r="AP16" i="1" s="1"/>
  <c r="AA23" i="1"/>
  <c r="N24" i="1" s="1"/>
  <c r="E23" i="1"/>
  <c r="F23" i="1" s="1"/>
  <c r="AD23" i="1" s="1"/>
  <c r="AZ23" i="1"/>
  <c r="BB23" i="1" s="1"/>
  <c r="BC23" i="1" s="1"/>
  <c r="AT23" i="1"/>
  <c r="AU23" i="1"/>
  <c r="BT23" i="1"/>
  <c r="BS23" i="1"/>
  <c r="BI23" i="1"/>
  <c r="BH23" i="1"/>
  <c r="AM17" i="1"/>
  <c r="AN17" i="1"/>
  <c r="AL18" i="1" s="1"/>
  <c r="BO59" i="1" l="1"/>
  <c r="BL60" i="1"/>
  <c r="AE23" i="1"/>
  <c r="CJ23" i="1"/>
  <c r="CB23" i="1"/>
  <c r="BX24" i="1" s="1"/>
  <c r="CF23" i="1"/>
  <c r="CM23" i="1"/>
  <c r="CN23" i="1" s="1"/>
  <c r="BV23" i="1"/>
  <c r="BR24" i="1" s="1"/>
  <c r="AH17" i="1"/>
  <c r="AI17" i="1"/>
  <c r="AG18" i="1" s="1"/>
  <c r="AW23" i="1"/>
  <c r="AV23" i="1"/>
  <c r="H23" i="1"/>
  <c r="J23" i="1" s="1"/>
  <c r="BG24" i="1"/>
  <c r="AO17" i="1"/>
  <c r="T24" i="1"/>
  <c r="V24" i="1" s="1"/>
  <c r="O25" i="1" s="1"/>
  <c r="BM60" i="1" l="1"/>
  <c r="BN60" i="1"/>
  <c r="AJ17" i="1"/>
  <c r="AK17" i="1" s="1"/>
  <c r="AP17" i="1" s="1"/>
  <c r="Y24" i="1"/>
  <c r="AS24" i="1"/>
  <c r="CG23" i="1"/>
  <c r="CD24" i="1"/>
  <c r="BY24" i="1"/>
  <c r="CE24" i="1"/>
  <c r="BZ24" i="1"/>
  <c r="AM18" i="1"/>
  <c r="AN18" i="1"/>
  <c r="AL19" i="1" s="1"/>
  <c r="G24" i="1"/>
  <c r="BO60" i="1" l="1"/>
  <c r="BL61" i="1"/>
  <c r="CA24" i="1"/>
  <c r="E24" i="1"/>
  <c r="F24" i="1" s="1"/>
  <c r="AA24" i="1"/>
  <c r="N25" i="1" s="1"/>
  <c r="AU24" i="1"/>
  <c r="AT24" i="1"/>
  <c r="AZ24" i="1"/>
  <c r="BB24" i="1" s="1"/>
  <c r="BC24" i="1" s="1"/>
  <c r="AH18" i="1"/>
  <c r="AI18" i="1"/>
  <c r="AG19" i="1" s="1"/>
  <c r="BS24" i="1"/>
  <c r="BT24" i="1"/>
  <c r="BI24" i="1"/>
  <c r="BH24" i="1"/>
  <c r="BG25" i="1" s="1"/>
  <c r="T25" i="1"/>
  <c r="V25" i="1" s="1"/>
  <c r="O26" i="1" s="1"/>
  <c r="AO18" i="1"/>
  <c r="BV24" i="1" l="1"/>
  <c r="AD24" i="1"/>
  <c r="AE24" i="1" s="1"/>
  <c r="BN61" i="1"/>
  <c r="BM61" i="1"/>
  <c r="BR25" i="1"/>
  <c r="H24" i="1"/>
  <c r="J24" i="1" s="1"/>
  <c r="AJ18" i="1"/>
  <c r="AK18" i="1" s="1"/>
  <c r="AP18" i="1" s="1"/>
  <c r="AV24" i="1"/>
  <c r="AS25" i="1" s="1"/>
  <c r="AW24" i="1"/>
  <c r="Y25" i="1"/>
  <c r="CJ24" i="1"/>
  <c r="CF24" i="1"/>
  <c r="CM24" i="1"/>
  <c r="CN24" i="1" s="1"/>
  <c r="CB24" i="1"/>
  <c r="BX25" i="1" s="1"/>
  <c r="AM19" i="1"/>
  <c r="AN19" i="1"/>
  <c r="AL20" i="1" s="1"/>
  <c r="G25" i="1"/>
  <c r="BO61" i="1" l="1"/>
  <c r="BL62" i="1"/>
  <c r="E25" i="1"/>
  <c r="F25" i="1" s="1"/>
  <c r="AD25" i="1" s="1"/>
  <c r="AA25" i="1"/>
  <c r="N26" i="1" s="1"/>
  <c r="BY25" i="1"/>
  <c r="CE25" i="1"/>
  <c r="BZ25" i="1"/>
  <c r="CG24" i="1"/>
  <c r="CD25" i="1"/>
  <c r="AU25" i="1"/>
  <c r="AZ25" i="1"/>
  <c r="BB25" i="1" s="1"/>
  <c r="BC25" i="1" s="1"/>
  <c r="AT25" i="1"/>
  <c r="AH19" i="1"/>
  <c r="AI19" i="1"/>
  <c r="AG20" i="1" s="1"/>
  <c r="BS25" i="1"/>
  <c r="BT25" i="1"/>
  <c r="AO19" i="1"/>
  <c r="BI25" i="1"/>
  <c r="BH25" i="1"/>
  <c r="BG26" i="1" s="1"/>
  <c r="T26" i="1"/>
  <c r="V26" i="1" s="1"/>
  <c r="O27" i="1" s="1"/>
  <c r="CA25" i="1" l="1"/>
  <c r="CB25" i="1" s="1"/>
  <c r="BX26" i="1" s="1"/>
  <c r="BV25" i="1"/>
  <c r="H25" i="1"/>
  <c r="J25" i="1" s="1"/>
  <c r="BM62" i="1"/>
  <c r="BN62" i="1"/>
  <c r="BR26" i="1"/>
  <c r="AV25" i="1"/>
  <c r="AS26" i="1" s="1"/>
  <c r="AW25" i="1"/>
  <c r="AJ19" i="1"/>
  <c r="AK19" i="1" s="1"/>
  <c r="AP19" i="1" s="1"/>
  <c r="Y26" i="1"/>
  <c r="AE25" i="1"/>
  <c r="CF25" i="1"/>
  <c r="CJ25" i="1"/>
  <c r="CM25" i="1"/>
  <c r="CN25" i="1" s="1"/>
  <c r="AM20" i="1"/>
  <c r="AN20" i="1"/>
  <c r="AL21" i="1" s="1"/>
  <c r="G26" i="1"/>
  <c r="BO62" i="1" l="1"/>
  <c r="BL63" i="1"/>
  <c r="AI20" i="1"/>
  <c r="AG21" i="1" s="1"/>
  <c r="AH20" i="1"/>
  <c r="E26" i="1"/>
  <c r="F26" i="1" s="1"/>
  <c r="H26" i="1" s="1"/>
  <c r="J26" i="1" s="1"/>
  <c r="AA26" i="1"/>
  <c r="N27" i="1" s="1"/>
  <c r="BZ26" i="1"/>
  <c r="CE26" i="1"/>
  <c r="BY26" i="1"/>
  <c r="CG25" i="1"/>
  <c r="CD26" i="1"/>
  <c r="AT26" i="1"/>
  <c r="AU26" i="1"/>
  <c r="AZ26" i="1"/>
  <c r="BB26" i="1" s="1"/>
  <c r="BC26" i="1" s="1"/>
  <c r="BT26" i="1"/>
  <c r="BS26" i="1"/>
  <c r="T27" i="1"/>
  <c r="V27" i="1" s="1"/>
  <c r="O28" i="1" s="1"/>
  <c r="BH26" i="1"/>
  <c r="BG27" i="1" s="1"/>
  <c r="BI26" i="1"/>
  <c r="AO20" i="1"/>
  <c r="BM63" i="1" l="1"/>
  <c r="BN63" i="1"/>
  <c r="BV26" i="1"/>
  <c r="BR27" i="1" s="1"/>
  <c r="AD26" i="1"/>
  <c r="AE26" i="1" s="1"/>
  <c r="CA26" i="1"/>
  <c r="CB26" i="1" s="1"/>
  <c r="BX27" i="1" s="1"/>
  <c r="Y27" i="1"/>
  <c r="AW26" i="1"/>
  <c r="AV26" i="1"/>
  <c r="AS27" i="1" s="1"/>
  <c r="CM26" i="1"/>
  <c r="CN26" i="1" s="1"/>
  <c r="CJ26" i="1"/>
  <c r="CF26" i="1"/>
  <c r="AJ20" i="1"/>
  <c r="AK20" i="1" s="1"/>
  <c r="AP20" i="1" s="1"/>
  <c r="G27" i="1"/>
  <c r="AM21" i="1"/>
  <c r="AN21" i="1"/>
  <c r="AL22" i="1" s="1"/>
  <c r="BO63" i="1" l="1"/>
  <c r="BL64" i="1"/>
  <c r="CG26" i="1"/>
  <c r="CD27" i="1"/>
  <c r="AT27" i="1"/>
  <c r="AU27" i="1"/>
  <c r="AZ27" i="1"/>
  <c r="BB27" i="1" s="1"/>
  <c r="BC27" i="1" s="1"/>
  <c r="BY27" i="1"/>
  <c r="BZ27" i="1"/>
  <c r="CE27" i="1"/>
  <c r="AA27" i="1"/>
  <c r="N28" i="1" s="1"/>
  <c r="E27" i="1"/>
  <c r="F27" i="1" s="1"/>
  <c r="AD27" i="1" s="1"/>
  <c r="AH21" i="1"/>
  <c r="AI21" i="1"/>
  <c r="AG22" i="1" s="1"/>
  <c r="AO21" i="1"/>
  <c r="BH27" i="1"/>
  <c r="BG28" i="1" s="1"/>
  <c r="BI27" i="1"/>
  <c r="BT27" i="1"/>
  <c r="BS27" i="1"/>
  <c r="T28" i="1"/>
  <c r="V28" i="1" s="1"/>
  <c r="O29" i="1" s="1"/>
  <c r="BM64" i="1" l="1"/>
  <c r="BN64" i="1"/>
  <c r="CA27" i="1"/>
  <c r="CB27" i="1" s="1"/>
  <c r="BX28" i="1" s="1"/>
  <c r="AV27" i="1"/>
  <c r="AS28" i="1" s="1"/>
  <c r="AW27" i="1"/>
  <c r="AJ21" i="1"/>
  <c r="AK21" i="1" s="1"/>
  <c r="AP21" i="1" s="1"/>
  <c r="AE27" i="1"/>
  <c r="CM27" i="1"/>
  <c r="CN27" i="1" s="1"/>
  <c r="CF27" i="1"/>
  <c r="CJ27" i="1"/>
  <c r="BV27" i="1"/>
  <c r="BR28" i="1" s="1"/>
  <c r="Y28" i="1"/>
  <c r="H27" i="1"/>
  <c r="J27" i="1" s="1"/>
  <c r="AM22" i="1"/>
  <c r="AN22" i="1"/>
  <c r="AL23" i="1" s="1"/>
  <c r="G28" i="1"/>
  <c r="BO64" i="1" l="1"/>
  <c r="BL65" i="1"/>
  <c r="BY28" i="1"/>
  <c r="BZ28" i="1"/>
  <c r="CE28" i="1"/>
  <c r="AI22" i="1"/>
  <c r="AG23" i="1" s="1"/>
  <c r="AH22" i="1"/>
  <c r="E28" i="1"/>
  <c r="F28" i="1" s="1"/>
  <c r="AA28" i="1"/>
  <c r="N29" i="1" s="1"/>
  <c r="CG27" i="1"/>
  <c r="CD28" i="1"/>
  <c r="AT28" i="1"/>
  <c r="AZ28" i="1"/>
  <c r="BB28" i="1" s="1"/>
  <c r="BC28" i="1" s="1"/>
  <c r="AU28" i="1"/>
  <c r="BS28" i="1"/>
  <c r="BT28" i="1"/>
  <c r="BH28" i="1"/>
  <c r="BG29" i="1" s="1"/>
  <c r="BI28" i="1"/>
  <c r="T29" i="1"/>
  <c r="V29" i="1" s="1"/>
  <c r="O30" i="1" s="1"/>
  <c r="AO22" i="1"/>
  <c r="CA28" i="1" l="1"/>
  <c r="BV28" i="1"/>
  <c r="BR29" i="1" s="1"/>
  <c r="AD28" i="1"/>
  <c r="AE28" i="1" s="1"/>
  <c r="BM65" i="1"/>
  <c r="BN65" i="1"/>
  <c r="Y29" i="1"/>
  <c r="CF28" i="1"/>
  <c r="CJ28" i="1"/>
  <c r="CB28" i="1"/>
  <c r="BX29" i="1" s="1"/>
  <c r="CM28" i="1"/>
  <c r="CN28" i="1" s="1"/>
  <c r="H28" i="1"/>
  <c r="J28" i="1" s="1"/>
  <c r="AW28" i="1"/>
  <c r="AV28" i="1"/>
  <c r="AS29" i="1" s="1"/>
  <c r="AJ22" i="1"/>
  <c r="AK22" i="1" s="1"/>
  <c r="AP22" i="1" s="1"/>
  <c r="G29" i="1"/>
  <c r="AN23" i="1"/>
  <c r="AL24" i="1" s="1"/>
  <c r="AM23" i="1"/>
  <c r="BO65" i="1" l="1"/>
  <c r="BL66" i="1"/>
  <c r="AI23" i="1"/>
  <c r="AG24" i="1" s="1"/>
  <c r="AH23" i="1"/>
  <c r="BY29" i="1"/>
  <c r="BZ29" i="1"/>
  <c r="CE29" i="1"/>
  <c r="CG28" i="1"/>
  <c r="CD29" i="1"/>
  <c r="AA29" i="1"/>
  <c r="N30" i="1" s="1"/>
  <c r="E29" i="1"/>
  <c r="F29" i="1" s="1"/>
  <c r="AZ29" i="1"/>
  <c r="BB29" i="1" s="1"/>
  <c r="BC29" i="1" s="1"/>
  <c r="AU29" i="1"/>
  <c r="AT29" i="1"/>
  <c r="AO23" i="1"/>
  <c r="BS29" i="1"/>
  <c r="BT29" i="1"/>
  <c r="BI29" i="1"/>
  <c r="BH29" i="1"/>
  <c r="BG30" i="1" s="1"/>
  <c r="T30" i="1"/>
  <c r="V30" i="1" s="1"/>
  <c r="O31" i="1" s="1"/>
  <c r="H29" i="1" l="1"/>
  <c r="J29" i="1" s="1"/>
  <c r="AD29" i="1"/>
  <c r="AE29" i="1" s="1"/>
  <c r="BM66" i="1"/>
  <c r="BN66" i="1"/>
  <c r="CA29" i="1"/>
  <c r="BV29" i="1"/>
  <c r="BR30" i="1" s="1"/>
  <c r="Y30" i="1"/>
  <c r="AW29" i="1"/>
  <c r="AV29" i="1"/>
  <c r="AS30" i="1" s="1"/>
  <c r="CB29" i="1"/>
  <c r="BX30" i="1" s="1"/>
  <c r="CJ29" i="1"/>
  <c r="CM29" i="1"/>
  <c r="CN29" i="1" s="1"/>
  <c r="CF29" i="1"/>
  <c r="AJ23" i="1"/>
  <c r="AK23" i="1" s="1"/>
  <c r="AP23" i="1" s="1"/>
  <c r="G30" i="1"/>
  <c r="AM24" i="1"/>
  <c r="AN24" i="1"/>
  <c r="AL25" i="1" s="1"/>
  <c r="BO66" i="1" l="1"/>
  <c r="BL67" i="1"/>
  <c r="CG29" i="1"/>
  <c r="CD30" i="1"/>
  <c r="CE30" i="1"/>
  <c r="BY30" i="1"/>
  <c r="BZ30" i="1"/>
  <c r="AI24" i="1"/>
  <c r="AG25" i="1" s="1"/>
  <c r="AH24" i="1"/>
  <c r="AU30" i="1"/>
  <c r="AT30" i="1"/>
  <c r="AZ30" i="1"/>
  <c r="BB30" i="1" s="1"/>
  <c r="BC30" i="1" s="1"/>
  <c r="AA30" i="1"/>
  <c r="N31" i="1" s="1"/>
  <c r="E30" i="1"/>
  <c r="F30" i="1" s="1"/>
  <c r="AD30" i="1" s="1"/>
  <c r="AO24" i="1"/>
  <c r="BI30" i="1"/>
  <c r="BH30" i="1"/>
  <c r="BG31" i="1" s="1"/>
  <c r="T31" i="1"/>
  <c r="V31" i="1" s="1"/>
  <c r="O32" i="1" s="1"/>
  <c r="BS30" i="1"/>
  <c r="BT30" i="1"/>
  <c r="BM67" i="1" l="1"/>
  <c r="BN67" i="1"/>
  <c r="CA30" i="1"/>
  <c r="CB30" i="1" s="1"/>
  <c r="BX31" i="1" s="1"/>
  <c r="AJ24" i="1"/>
  <c r="AK24" i="1" s="1"/>
  <c r="AP24" i="1" s="1"/>
  <c r="AV30" i="1"/>
  <c r="AS31" i="1" s="1"/>
  <c r="AW30" i="1"/>
  <c r="AE30" i="1"/>
  <c r="CM30" i="1"/>
  <c r="CN30" i="1" s="1"/>
  <c r="CF30" i="1"/>
  <c r="CJ30" i="1"/>
  <c r="Y31" i="1"/>
  <c r="H30" i="1"/>
  <c r="J30" i="1" s="1"/>
  <c r="BV30" i="1"/>
  <c r="BR31" i="1" s="1"/>
  <c r="G31" i="1"/>
  <c r="AM25" i="1"/>
  <c r="AN25" i="1"/>
  <c r="AL26" i="1" s="1"/>
  <c r="BO67" i="1" l="1"/>
  <c r="BL68" i="1"/>
  <c r="AZ31" i="1"/>
  <c r="BB31" i="1" s="1"/>
  <c r="BC31" i="1" s="1"/>
  <c r="AU31" i="1"/>
  <c r="AT31" i="1"/>
  <c r="BY31" i="1"/>
  <c r="BZ31" i="1"/>
  <c r="CE31" i="1"/>
  <c r="AA31" i="1"/>
  <c r="N32" i="1" s="1"/>
  <c r="E31" i="1"/>
  <c r="F31" i="1" s="1"/>
  <c r="AI25" i="1"/>
  <c r="AG26" i="1" s="1"/>
  <c r="AH25" i="1"/>
  <c r="CG30" i="1"/>
  <c r="CD31" i="1"/>
  <c r="AO25" i="1"/>
  <c r="BI31" i="1"/>
  <c r="BH31" i="1"/>
  <c r="BG32" i="1" s="1"/>
  <c r="BS31" i="1"/>
  <c r="BT31" i="1"/>
  <c r="T32" i="1"/>
  <c r="V32" i="1" s="1"/>
  <c r="O33" i="1" s="1"/>
  <c r="H31" i="1" l="1"/>
  <c r="J31" i="1" s="1"/>
  <c r="AD31" i="1"/>
  <c r="AE31" i="1" s="1"/>
  <c r="BM68" i="1"/>
  <c r="BN68" i="1"/>
  <c r="CA31" i="1"/>
  <c r="CB31" i="1" s="1"/>
  <c r="BX32" i="1" s="1"/>
  <c r="CM31" i="1"/>
  <c r="CN31" i="1" s="1"/>
  <c r="CF31" i="1"/>
  <c r="CJ31" i="1"/>
  <c r="Y32" i="1"/>
  <c r="AJ25" i="1"/>
  <c r="AK25" i="1" s="1"/>
  <c r="AP25" i="1" s="1"/>
  <c r="AW31" i="1"/>
  <c r="AV31" i="1"/>
  <c r="AS32" i="1" s="1"/>
  <c r="BV31" i="1"/>
  <c r="BR32" i="1" s="1"/>
  <c r="AM26" i="1"/>
  <c r="AN26" i="1"/>
  <c r="AL27" i="1" s="1"/>
  <c r="G32" i="1"/>
  <c r="BO68" i="1" l="1"/>
  <c r="BL69" i="1"/>
  <c r="CE32" i="1"/>
  <c r="BY32" i="1"/>
  <c r="BZ32" i="1"/>
  <c r="AA32" i="1"/>
  <c r="N33" i="1" s="1"/>
  <c r="E32" i="1"/>
  <c r="F32" i="1" s="1"/>
  <c r="AU32" i="1"/>
  <c r="AZ32" i="1"/>
  <c r="BB32" i="1" s="1"/>
  <c r="BC32" i="1" s="1"/>
  <c r="AT32" i="1"/>
  <c r="AI26" i="1"/>
  <c r="AG27" i="1" s="1"/>
  <c r="AH26" i="1"/>
  <c r="CG31" i="1"/>
  <c r="CD32" i="1"/>
  <c r="T33" i="1"/>
  <c r="V33" i="1" s="1"/>
  <c r="O34" i="1" s="1"/>
  <c r="BT32" i="1"/>
  <c r="BS32" i="1"/>
  <c r="BI32" i="1"/>
  <c r="BH32" i="1"/>
  <c r="BG33" i="1" s="1"/>
  <c r="AO26" i="1"/>
  <c r="BV32" i="1" l="1"/>
  <c r="BR33" i="1" s="1"/>
  <c r="AD32" i="1"/>
  <c r="AE32" i="1" s="1"/>
  <c r="BN69" i="1"/>
  <c r="BM69" i="1"/>
  <c r="CA32" i="1"/>
  <c r="CB32" i="1" s="1"/>
  <c r="BX33" i="1" s="1"/>
  <c r="AJ26" i="1"/>
  <c r="AK26" i="1" s="1"/>
  <c r="AP26" i="1" s="1"/>
  <c r="AW32" i="1"/>
  <c r="AV32" i="1"/>
  <c r="AS33" i="1" s="1"/>
  <c r="CF32" i="1"/>
  <c r="CM32" i="1"/>
  <c r="CN32" i="1" s="1"/>
  <c r="CJ32" i="1"/>
  <c r="Y33" i="1"/>
  <c r="H32" i="1"/>
  <c r="J32" i="1" s="1"/>
  <c r="AM27" i="1"/>
  <c r="AN27" i="1"/>
  <c r="AL28" i="1" s="1"/>
  <c r="G33" i="1"/>
  <c r="BO69" i="1" l="1"/>
  <c r="BL70" i="1"/>
  <c r="AU33" i="1"/>
  <c r="AT33" i="1"/>
  <c r="AZ33" i="1"/>
  <c r="BB33" i="1" s="1"/>
  <c r="BC33" i="1" s="1"/>
  <c r="CG32" i="1"/>
  <c r="CD33" i="1"/>
  <c r="BZ33" i="1"/>
  <c r="BY33" i="1"/>
  <c r="CE33" i="1"/>
  <c r="AA33" i="1"/>
  <c r="N34" i="1" s="1"/>
  <c r="E33" i="1"/>
  <c r="F33" i="1" s="1"/>
  <c r="AI27" i="1"/>
  <c r="AG28" i="1" s="1"/>
  <c r="AH27" i="1"/>
  <c r="T34" i="1"/>
  <c r="V34" i="1" s="1"/>
  <c r="O35" i="1" s="1"/>
  <c r="BI33" i="1"/>
  <c r="BH33" i="1"/>
  <c r="BG34" i="1" s="1"/>
  <c r="BS33" i="1"/>
  <c r="BT33" i="1"/>
  <c r="AO27" i="1"/>
  <c r="H33" i="1" l="1"/>
  <c r="J33" i="1" s="1"/>
  <c r="AD33" i="1"/>
  <c r="AE33" i="1" s="1"/>
  <c r="BM70" i="1"/>
  <c r="BN70" i="1"/>
  <c r="BV33" i="1"/>
  <c r="BR34" i="1" s="1"/>
  <c r="AJ27" i="1"/>
  <c r="AK27" i="1" s="1"/>
  <c r="AP27" i="1" s="1"/>
  <c r="CM33" i="1"/>
  <c r="CN33" i="1" s="1"/>
  <c r="CF33" i="1"/>
  <c r="CJ33" i="1"/>
  <c r="Y34" i="1"/>
  <c r="CA33" i="1"/>
  <c r="CB33" i="1" s="1"/>
  <c r="BX34" i="1" s="1"/>
  <c r="AW33" i="1"/>
  <c r="AV33" i="1"/>
  <c r="AS34" i="1" s="1"/>
  <c r="AM28" i="1"/>
  <c r="AN28" i="1"/>
  <c r="AL29" i="1" s="1"/>
  <c r="G34" i="1"/>
  <c r="BO70" i="1" l="1"/>
  <c r="BL71" i="1"/>
  <c r="CG33" i="1"/>
  <c r="CD34" i="1"/>
  <c r="AT34" i="1"/>
  <c r="AZ34" i="1"/>
  <c r="BB34" i="1" s="1"/>
  <c r="BC34" i="1" s="1"/>
  <c r="AU34" i="1"/>
  <c r="CE34" i="1"/>
  <c r="BZ34" i="1"/>
  <c r="BY34" i="1"/>
  <c r="AA34" i="1"/>
  <c r="N35" i="1" s="1"/>
  <c r="E34" i="1"/>
  <c r="F34" i="1" s="1"/>
  <c r="AH28" i="1"/>
  <c r="AI28" i="1"/>
  <c r="AG29" i="1" s="1"/>
  <c r="T35" i="1"/>
  <c r="V35" i="1" s="1"/>
  <c r="O36" i="1" s="1"/>
  <c r="BH34" i="1"/>
  <c r="BG35" i="1" s="1"/>
  <c r="BI34" i="1"/>
  <c r="BS34" i="1"/>
  <c r="BT34" i="1"/>
  <c r="AO28" i="1"/>
  <c r="H34" i="1" l="1"/>
  <c r="J34" i="1" s="1"/>
  <c r="AD34" i="1"/>
  <c r="AE34" i="1" s="1"/>
  <c r="BM71" i="1"/>
  <c r="BN71" i="1"/>
  <c r="BV34" i="1"/>
  <c r="BR35" i="1" s="1"/>
  <c r="AV34" i="1"/>
  <c r="AS35" i="1" s="1"/>
  <c r="AW34" i="1"/>
  <c r="AJ28" i="1"/>
  <c r="AK28" i="1" s="1"/>
  <c r="AP28" i="1" s="1"/>
  <c r="CA34" i="1"/>
  <c r="CB34" i="1" s="1"/>
  <c r="BX35" i="1" s="1"/>
  <c r="CF34" i="1"/>
  <c r="CJ34" i="1"/>
  <c r="CM34" i="1"/>
  <c r="CN34" i="1" s="1"/>
  <c r="Y35" i="1"/>
  <c r="AM29" i="1"/>
  <c r="AN29" i="1"/>
  <c r="AL30" i="1" s="1"/>
  <c r="G35" i="1"/>
  <c r="BO71" i="1" l="1"/>
  <c r="BL72" i="1"/>
  <c r="BY35" i="1"/>
  <c r="CE35" i="1"/>
  <c r="BZ35" i="1"/>
  <c r="E35" i="1"/>
  <c r="F35" i="1" s="1"/>
  <c r="AD35" i="1" s="1"/>
  <c r="AA35" i="1"/>
  <c r="N36" i="1" s="1"/>
  <c r="AH29" i="1"/>
  <c r="AI29" i="1"/>
  <c r="AG30" i="1" s="1"/>
  <c r="CG34" i="1"/>
  <c r="CD35" i="1"/>
  <c r="AZ35" i="1"/>
  <c r="BB35" i="1" s="1"/>
  <c r="BC35" i="1" s="1"/>
  <c r="AU35" i="1"/>
  <c r="AT35" i="1"/>
  <c r="AO29" i="1"/>
  <c r="T36" i="1"/>
  <c r="V36" i="1" s="1"/>
  <c r="O37" i="1" s="1"/>
  <c r="BI35" i="1"/>
  <c r="BH35" i="1"/>
  <c r="BG36" i="1" s="1"/>
  <c r="BT35" i="1"/>
  <c r="BS35" i="1"/>
  <c r="BV35" i="1" l="1"/>
  <c r="H35" i="1"/>
  <c r="J35" i="1" s="1"/>
  <c r="BR36" i="1"/>
  <c r="CA35" i="1"/>
  <c r="CB35" i="1" s="1"/>
  <c r="BX36" i="1" s="1"/>
  <c r="BN72" i="1"/>
  <c r="BM72" i="1"/>
  <c r="AJ29" i="1"/>
  <c r="AK29" i="1" s="1"/>
  <c r="AP29" i="1" s="1"/>
  <c r="Y36" i="1"/>
  <c r="AW35" i="1"/>
  <c r="AV35" i="1"/>
  <c r="AS36" i="1" s="1"/>
  <c r="AE35" i="1"/>
  <c r="CJ35" i="1"/>
  <c r="CM35" i="1"/>
  <c r="CN35" i="1" s="1"/>
  <c r="CF35" i="1"/>
  <c r="AM30" i="1"/>
  <c r="AN30" i="1"/>
  <c r="AL31" i="1" s="1"/>
  <c r="G36" i="1"/>
  <c r="BO72" i="1" l="1"/>
  <c r="BL73" i="1"/>
  <c r="AZ36" i="1"/>
  <c r="BB36" i="1" s="1"/>
  <c r="BC36" i="1" s="1"/>
  <c r="AU36" i="1"/>
  <c r="AT36" i="1"/>
  <c r="CG35" i="1"/>
  <c r="CD36" i="1"/>
  <c r="AA36" i="1"/>
  <c r="N37" i="1" s="1"/>
  <c r="E36" i="1"/>
  <c r="F36" i="1" s="1"/>
  <c r="BY36" i="1"/>
  <c r="BZ36" i="1"/>
  <c r="CE36" i="1"/>
  <c r="AI30" i="1"/>
  <c r="AG31" i="1" s="1"/>
  <c r="AH30" i="1"/>
  <c r="BI36" i="1"/>
  <c r="BH36" i="1"/>
  <c r="BG37" i="1" s="1"/>
  <c r="BT36" i="1"/>
  <c r="BS36" i="1"/>
  <c r="AO30" i="1"/>
  <c r="T37" i="1"/>
  <c r="V37" i="1" s="1"/>
  <c r="O38" i="1" s="1"/>
  <c r="BM73" i="1" l="1"/>
  <c r="BN73" i="1"/>
  <c r="BV36" i="1"/>
  <c r="BR37" i="1" s="1"/>
  <c r="AD36" i="1"/>
  <c r="AE36" i="1" s="1"/>
  <c r="CF36" i="1"/>
  <c r="CJ36" i="1"/>
  <c r="CM36" i="1"/>
  <c r="CN36" i="1" s="1"/>
  <c r="Y37" i="1"/>
  <c r="H36" i="1"/>
  <c r="J36" i="1" s="1"/>
  <c r="AJ30" i="1"/>
  <c r="AK30" i="1" s="1"/>
  <c r="AP30" i="1" s="1"/>
  <c r="AW36" i="1"/>
  <c r="AV36" i="1"/>
  <c r="AS37" i="1" s="1"/>
  <c r="CA36" i="1"/>
  <c r="CB36" i="1" s="1"/>
  <c r="BX37" i="1" s="1"/>
  <c r="AN31" i="1"/>
  <c r="AL32" i="1" s="1"/>
  <c r="AM31" i="1"/>
  <c r="G37" i="1"/>
  <c r="BO73" i="1" l="1"/>
  <c r="BL74" i="1"/>
  <c r="BZ37" i="1"/>
  <c r="BY37" i="1"/>
  <c r="CE37" i="1"/>
  <c r="E37" i="1"/>
  <c r="F37" i="1" s="1"/>
  <c r="AA37" i="1"/>
  <c r="N38" i="1" s="1"/>
  <c r="AZ37" i="1"/>
  <c r="BB37" i="1" s="1"/>
  <c r="BC37" i="1" s="1"/>
  <c r="AU37" i="1"/>
  <c r="AT37" i="1"/>
  <c r="AH31" i="1"/>
  <c r="AI31" i="1"/>
  <c r="AG32" i="1" s="1"/>
  <c r="CG36" i="1"/>
  <c r="CD37" i="1"/>
  <c r="BI37" i="1"/>
  <c r="BH37" i="1"/>
  <c r="BG38" i="1" s="1"/>
  <c r="T38" i="1"/>
  <c r="V38" i="1" s="1"/>
  <c r="O39" i="1" s="1"/>
  <c r="BS37" i="1"/>
  <c r="BT37" i="1"/>
  <c r="AO31" i="1"/>
  <c r="BV37" i="1" l="1"/>
  <c r="AD37" i="1"/>
  <c r="AE37" i="1" s="1"/>
  <c r="BN74" i="1"/>
  <c r="BL75" i="1" s="1"/>
  <c r="BM74" i="1"/>
  <c r="H37" i="1"/>
  <c r="J37" i="1" s="1"/>
  <c r="BR38" i="1"/>
  <c r="AJ31" i="1"/>
  <c r="AK31" i="1" s="1"/>
  <c r="AP31" i="1" s="1"/>
  <c r="AW37" i="1"/>
  <c r="AV37" i="1"/>
  <c r="AS38" i="1" s="1"/>
  <c r="Y38" i="1"/>
  <c r="CJ37" i="1"/>
  <c r="CF37" i="1"/>
  <c r="CM37" i="1"/>
  <c r="CN37" i="1" s="1"/>
  <c r="CA37" i="1"/>
  <c r="CB37" i="1" s="1"/>
  <c r="BX38" i="1" s="1"/>
  <c r="G38" i="1"/>
  <c r="AM32" i="1"/>
  <c r="AN32" i="1"/>
  <c r="AL33" i="1" s="1"/>
  <c r="BO74" i="1" l="1"/>
  <c r="BN75" i="1"/>
  <c r="BM75" i="1"/>
  <c r="BY38" i="1"/>
  <c r="BZ38" i="1"/>
  <c r="CE38" i="1"/>
  <c r="AA38" i="1"/>
  <c r="N39" i="1" s="1"/>
  <c r="E38" i="1"/>
  <c r="F38" i="1" s="1"/>
  <c r="AD38" i="1" s="1"/>
  <c r="AZ38" i="1"/>
  <c r="BB38" i="1" s="1"/>
  <c r="BC38" i="1" s="1"/>
  <c r="AU38" i="1"/>
  <c r="AT38" i="1"/>
  <c r="AH32" i="1"/>
  <c r="AI32" i="1"/>
  <c r="AG33" i="1" s="1"/>
  <c r="CG37" i="1"/>
  <c r="CD38" i="1"/>
  <c r="AO32" i="1"/>
  <c r="T39" i="1"/>
  <c r="V39" i="1" s="1"/>
  <c r="O40" i="1" s="1"/>
  <c r="BH38" i="1"/>
  <c r="BG39" i="1" s="1"/>
  <c r="BI38" i="1"/>
  <c r="BS38" i="1"/>
  <c r="BT38" i="1"/>
  <c r="BV38" i="1" l="1"/>
  <c r="BR39" i="1" s="1"/>
  <c r="H38" i="1"/>
  <c r="J38" i="1" s="1"/>
  <c r="BO75" i="1"/>
  <c r="BL76" i="1"/>
  <c r="CA38" i="1"/>
  <c r="CB38" i="1" s="1"/>
  <c r="BX39" i="1" s="1"/>
  <c r="AJ32" i="1"/>
  <c r="AK32" i="1" s="1"/>
  <c r="AP32" i="1" s="1"/>
  <c r="AW38" i="1"/>
  <c r="AV38" i="1"/>
  <c r="AS39" i="1" s="1"/>
  <c r="AE38" i="1"/>
  <c r="CF38" i="1"/>
  <c r="CJ38" i="1"/>
  <c r="CM38" i="1"/>
  <c r="CN38" i="1" s="1"/>
  <c r="Y39" i="1"/>
  <c r="G39" i="1"/>
  <c r="AN33" i="1"/>
  <c r="AL34" i="1" s="1"/>
  <c r="AM33" i="1"/>
  <c r="BN76" i="1" l="1"/>
  <c r="BM76" i="1"/>
  <c r="CG38" i="1"/>
  <c r="CD39" i="1"/>
  <c r="AZ39" i="1"/>
  <c r="BB39" i="1" s="1"/>
  <c r="BC39" i="1" s="1"/>
  <c r="AT39" i="1"/>
  <c r="AU39" i="1"/>
  <c r="AA39" i="1"/>
  <c r="N40" i="1" s="1"/>
  <c r="E39" i="1"/>
  <c r="F39" i="1" s="1"/>
  <c r="BY39" i="1"/>
  <c r="CE39" i="1"/>
  <c r="BZ39" i="1"/>
  <c r="AI33" i="1"/>
  <c r="AG34" i="1" s="1"/>
  <c r="AH33" i="1"/>
  <c r="AO33" i="1"/>
  <c r="BT39" i="1"/>
  <c r="BS39" i="1"/>
  <c r="BI39" i="1"/>
  <c r="BH39" i="1"/>
  <c r="BG40" i="1" s="1"/>
  <c r="T40" i="1"/>
  <c r="V40" i="1" s="1"/>
  <c r="O41" i="1" s="1"/>
  <c r="CA39" i="1" l="1"/>
  <c r="CB39" i="1" s="1"/>
  <c r="BX40" i="1" s="1"/>
  <c r="H39" i="1"/>
  <c r="J39" i="1" s="1"/>
  <c r="AD39" i="1"/>
  <c r="AE39" i="1" s="1"/>
  <c r="BO76" i="1"/>
  <c r="BL77" i="1"/>
  <c r="Y40" i="1"/>
  <c r="AW39" i="1"/>
  <c r="AV39" i="1"/>
  <c r="AS40" i="1" s="1"/>
  <c r="CM39" i="1"/>
  <c r="CN39" i="1" s="1"/>
  <c r="CF39" i="1"/>
  <c r="CJ39" i="1"/>
  <c r="BV39" i="1"/>
  <c r="BR40" i="1" s="1"/>
  <c r="AJ33" i="1"/>
  <c r="AK33" i="1" s="1"/>
  <c r="AP33" i="1" s="1"/>
  <c r="AM34" i="1"/>
  <c r="AN34" i="1"/>
  <c r="AL35" i="1" s="1"/>
  <c r="G40" i="1"/>
  <c r="BM77" i="1" l="1"/>
  <c r="BN77" i="1"/>
  <c r="CG39" i="1"/>
  <c r="CD40" i="1"/>
  <c r="AZ40" i="1"/>
  <c r="BB40" i="1" s="1"/>
  <c r="BC40" i="1" s="1"/>
  <c r="AU40" i="1"/>
  <c r="AT40" i="1"/>
  <c r="AI34" i="1"/>
  <c r="AG35" i="1" s="1"/>
  <c r="AH34" i="1"/>
  <c r="BY40" i="1"/>
  <c r="CE40" i="1"/>
  <c r="BZ40" i="1"/>
  <c r="E40" i="1"/>
  <c r="F40" i="1" s="1"/>
  <c r="AA40" i="1"/>
  <c r="N41" i="1" s="1"/>
  <c r="BH40" i="1"/>
  <c r="BG41" i="1" s="1"/>
  <c r="BI40" i="1"/>
  <c r="T41" i="1"/>
  <c r="V41" i="1" s="1"/>
  <c r="O42" i="1" s="1"/>
  <c r="AO34" i="1"/>
  <c r="BS40" i="1"/>
  <c r="BT40" i="1"/>
  <c r="BO77" i="1" l="1"/>
  <c r="BL78" i="1"/>
  <c r="H40" i="1"/>
  <c r="J40" i="1" s="1"/>
  <c r="AD40" i="1"/>
  <c r="AE40" i="1" s="1"/>
  <c r="BV40" i="1"/>
  <c r="BR41" i="1" s="1"/>
  <c r="AJ34" i="1"/>
  <c r="AK34" i="1" s="1"/>
  <c r="AP34" i="1" s="1"/>
  <c r="AW40" i="1"/>
  <c r="AV40" i="1"/>
  <c r="AS41" i="1" s="1"/>
  <c r="Y41" i="1"/>
  <c r="CJ40" i="1"/>
  <c r="CM40" i="1"/>
  <c r="CN40" i="1" s="1"/>
  <c r="CF40" i="1"/>
  <c r="CA40" i="1"/>
  <c r="CB40" i="1" s="1"/>
  <c r="BX41" i="1" s="1"/>
  <c r="AN35" i="1"/>
  <c r="AL36" i="1" s="1"/>
  <c r="AM35" i="1"/>
  <c r="G41" i="1"/>
  <c r="BN78" i="1" l="1"/>
  <c r="BM78" i="1"/>
  <c r="BY41" i="1"/>
  <c r="BZ41" i="1"/>
  <c r="CE41" i="1"/>
  <c r="CG40" i="1"/>
  <c r="CD41" i="1"/>
  <c r="AA41" i="1"/>
  <c r="N42" i="1" s="1"/>
  <c r="E41" i="1"/>
  <c r="F41" i="1" s="1"/>
  <c r="AD41" i="1" s="1"/>
  <c r="AH35" i="1"/>
  <c r="AI35" i="1"/>
  <c r="AG36" i="1" s="1"/>
  <c r="AT41" i="1"/>
  <c r="AZ41" i="1"/>
  <c r="BB41" i="1" s="1"/>
  <c r="BC41" i="1" s="1"/>
  <c r="AU41" i="1"/>
  <c r="BI41" i="1"/>
  <c r="BH41" i="1"/>
  <c r="BG42" i="1" s="1"/>
  <c r="BS41" i="1"/>
  <c r="BT41" i="1"/>
  <c r="T42" i="1"/>
  <c r="V42" i="1" s="1"/>
  <c r="O43" i="1" s="1"/>
  <c r="AO35" i="1"/>
  <c r="BO78" i="1" l="1"/>
  <c r="BL79" i="1"/>
  <c r="CA41" i="1"/>
  <c r="CB41" i="1" s="1"/>
  <c r="BX42" i="1" s="1"/>
  <c r="Y42" i="1"/>
  <c r="AE41" i="1"/>
  <c r="CF41" i="1"/>
  <c r="CJ41" i="1"/>
  <c r="CM41" i="1"/>
  <c r="CN41" i="1" s="1"/>
  <c r="AW41" i="1"/>
  <c r="AV41" i="1"/>
  <c r="AS42" i="1" s="1"/>
  <c r="H41" i="1"/>
  <c r="J41" i="1" s="1"/>
  <c r="AJ35" i="1"/>
  <c r="AK35" i="1" s="1"/>
  <c r="AP35" i="1" s="1"/>
  <c r="BV41" i="1"/>
  <c r="BR42" i="1" s="1"/>
  <c r="G42" i="1"/>
  <c r="AN36" i="1"/>
  <c r="AL37" i="1" s="1"/>
  <c r="AM36" i="1"/>
  <c r="BN79" i="1" l="1"/>
  <c r="BM79" i="1"/>
  <c r="BZ42" i="1"/>
  <c r="CE42" i="1"/>
  <c r="BY42" i="1"/>
  <c r="CG41" i="1"/>
  <c r="CD42" i="1"/>
  <c r="AZ42" i="1"/>
  <c r="BB42" i="1" s="1"/>
  <c r="BC42" i="1" s="1"/>
  <c r="AU42" i="1"/>
  <c r="AT42" i="1"/>
  <c r="E42" i="1"/>
  <c r="F42" i="1" s="1"/>
  <c r="AA42" i="1"/>
  <c r="N43" i="1" s="1"/>
  <c r="AI36" i="1"/>
  <c r="AG37" i="1" s="1"/>
  <c r="AH36" i="1"/>
  <c r="AO36" i="1"/>
  <c r="BT42" i="1"/>
  <c r="BS42" i="1"/>
  <c r="T43" i="1"/>
  <c r="V43" i="1" s="1"/>
  <c r="O44" i="1" s="1"/>
  <c r="BI42" i="1"/>
  <c r="BH42" i="1"/>
  <c r="BG43" i="1" s="1"/>
  <c r="BV42" i="1" l="1"/>
  <c r="BR43" i="1" s="1"/>
  <c r="AD42" i="1"/>
  <c r="AE42" i="1" s="1"/>
  <c r="BO79" i="1"/>
  <c r="BL80" i="1"/>
  <c r="H42" i="1"/>
  <c r="J42" i="1" s="1"/>
  <c r="AW42" i="1"/>
  <c r="AV42" i="1"/>
  <c r="AS43" i="1" s="1"/>
  <c r="AJ36" i="1"/>
  <c r="AK36" i="1" s="1"/>
  <c r="AP36" i="1" s="1"/>
  <c r="Y43" i="1"/>
  <c r="CM42" i="1"/>
  <c r="CN42" i="1" s="1"/>
  <c r="CF42" i="1"/>
  <c r="CJ42" i="1"/>
  <c r="CA42" i="1"/>
  <c r="CB42" i="1" s="1"/>
  <c r="BX43" i="1" s="1"/>
  <c r="G43" i="1"/>
  <c r="AM37" i="1"/>
  <c r="AN37" i="1"/>
  <c r="AL38" i="1" s="1"/>
  <c r="BN80" i="1" l="1"/>
  <c r="BM80" i="1"/>
  <c r="AA43" i="1"/>
  <c r="N44" i="1" s="1"/>
  <c r="E43" i="1"/>
  <c r="F43" i="1" s="1"/>
  <c r="H43" i="1" s="1"/>
  <c r="J43" i="1" s="1"/>
  <c r="AI37" i="1"/>
  <c r="AG38" i="1" s="1"/>
  <c r="AH37" i="1"/>
  <c r="CG42" i="1"/>
  <c r="CD43" i="1"/>
  <c r="AU43" i="1"/>
  <c r="AZ43" i="1"/>
  <c r="BB43" i="1" s="1"/>
  <c r="BC43" i="1" s="1"/>
  <c r="AT43" i="1"/>
  <c r="BY43" i="1"/>
  <c r="CE43" i="1"/>
  <c r="BZ43" i="1"/>
  <c r="BT43" i="1"/>
  <c r="BS43" i="1"/>
  <c r="BH43" i="1"/>
  <c r="BG44" i="1" s="1"/>
  <c r="BI43" i="1"/>
  <c r="AO37" i="1"/>
  <c r="T44" i="1"/>
  <c r="V44" i="1" s="1"/>
  <c r="O45" i="1" s="1"/>
  <c r="BV43" i="1" l="1"/>
  <c r="AD43" i="1"/>
  <c r="AE43" i="1" s="1"/>
  <c r="BO80" i="1"/>
  <c r="BL81" i="1"/>
  <c r="BR44" i="1"/>
  <c r="CA43" i="1"/>
  <c r="CB43" i="1" s="1"/>
  <c r="BX44" i="1" s="1"/>
  <c r="AW43" i="1"/>
  <c r="AV43" i="1"/>
  <c r="AS44" i="1" s="1"/>
  <c r="BY44" i="1"/>
  <c r="BZ44" i="1"/>
  <c r="CE44" i="1"/>
  <c r="AJ37" i="1"/>
  <c r="AK37" i="1" s="1"/>
  <c r="AP37" i="1" s="1"/>
  <c r="CF43" i="1"/>
  <c r="CM43" i="1"/>
  <c r="CN43" i="1" s="1"/>
  <c r="CJ43" i="1"/>
  <c r="Y44" i="1"/>
  <c r="AM38" i="1"/>
  <c r="AN38" i="1"/>
  <c r="AL39" i="1" s="1"/>
  <c r="G44" i="1"/>
  <c r="BN81" i="1" l="1"/>
  <c r="BM81" i="1"/>
  <c r="CA44" i="1"/>
  <c r="AI38" i="1"/>
  <c r="AG39" i="1" s="1"/>
  <c r="AH38" i="1"/>
  <c r="AA44" i="1"/>
  <c r="N45" i="1" s="1"/>
  <c r="E44" i="1"/>
  <c r="F44" i="1" s="1"/>
  <c r="CG43" i="1"/>
  <c r="CD44" i="1"/>
  <c r="AT44" i="1"/>
  <c r="AZ44" i="1"/>
  <c r="BB44" i="1" s="1"/>
  <c r="BC44" i="1" s="1"/>
  <c r="AU44" i="1"/>
  <c r="BI44" i="1"/>
  <c r="BH44" i="1"/>
  <c r="BG45" i="1" s="1"/>
  <c r="AO38" i="1"/>
  <c r="T45" i="1"/>
  <c r="V45" i="1" s="1"/>
  <c r="O46" i="1" s="1"/>
  <c r="BS44" i="1"/>
  <c r="BT44" i="1"/>
  <c r="CB44" i="1" l="1"/>
  <c r="BX45" i="1" s="1"/>
  <c r="AD44" i="1"/>
  <c r="AE44" i="1" s="1"/>
  <c r="BO81" i="1"/>
  <c r="BL82" i="1"/>
  <c r="BV44" i="1"/>
  <c r="BR45" i="1" s="1"/>
  <c r="H44" i="1"/>
  <c r="J44" i="1" s="1"/>
  <c r="CE45" i="1"/>
  <c r="BY45" i="1"/>
  <c r="BZ45" i="1"/>
  <c r="CM44" i="1"/>
  <c r="CN44" i="1" s="1"/>
  <c r="CF44" i="1"/>
  <c r="CJ44" i="1"/>
  <c r="AW44" i="1"/>
  <c r="AV44" i="1"/>
  <c r="AS45" i="1" s="1"/>
  <c r="Y45" i="1"/>
  <c r="AJ38" i="1"/>
  <c r="AK38" i="1" s="1"/>
  <c r="AP38" i="1" s="1"/>
  <c r="G45" i="1"/>
  <c r="AM39" i="1"/>
  <c r="AN39" i="1"/>
  <c r="AL40" i="1" s="1"/>
  <c r="BN82" i="1" l="1"/>
  <c r="BM82" i="1"/>
  <c r="CA45" i="1"/>
  <c r="AA45" i="1"/>
  <c r="N46" i="1" s="1"/>
  <c r="E45" i="1"/>
  <c r="F45" i="1" s="1"/>
  <c r="AD45" i="1" s="1"/>
  <c r="CG44" i="1"/>
  <c r="CD45" i="1"/>
  <c r="AZ45" i="1"/>
  <c r="BB45" i="1" s="1"/>
  <c r="BC45" i="1" s="1"/>
  <c r="AT45" i="1"/>
  <c r="AU45" i="1"/>
  <c r="AH39" i="1"/>
  <c r="AI39" i="1"/>
  <c r="AG40" i="1" s="1"/>
  <c r="AO39" i="1"/>
  <c r="T46" i="1"/>
  <c r="V46" i="1" s="1"/>
  <c r="O47" i="1" s="1"/>
  <c r="BH45" i="1"/>
  <c r="BG46" i="1" s="1"/>
  <c r="BI45" i="1"/>
  <c r="BT45" i="1"/>
  <c r="BS45" i="1"/>
  <c r="CB45" i="1" l="1"/>
  <c r="BX46" i="1" s="1"/>
  <c r="BV45" i="1"/>
  <c r="BR46" i="1" s="1"/>
  <c r="H45" i="1"/>
  <c r="J45" i="1" s="1"/>
  <c r="BO82" i="1"/>
  <c r="BL83" i="1"/>
  <c r="AW45" i="1"/>
  <c r="AV45" i="1"/>
  <c r="AS46" i="1" s="1"/>
  <c r="BZ46" i="1"/>
  <c r="BY46" i="1"/>
  <c r="CE46" i="1"/>
  <c r="AJ39" i="1"/>
  <c r="AK39" i="1" s="1"/>
  <c r="AP39" i="1" s="1"/>
  <c r="AE45" i="1"/>
  <c r="CF45" i="1"/>
  <c r="CM45" i="1"/>
  <c r="CN45" i="1" s="1"/>
  <c r="CJ45" i="1"/>
  <c r="Y46" i="1"/>
  <c r="G46" i="1"/>
  <c r="AM40" i="1"/>
  <c r="AN40" i="1"/>
  <c r="AL41" i="1" s="1"/>
  <c r="BM83" i="1" l="1"/>
  <c r="BN83" i="1"/>
  <c r="AI40" i="1"/>
  <c r="AG41" i="1" s="1"/>
  <c r="AH40" i="1"/>
  <c r="AA46" i="1"/>
  <c r="N47" i="1" s="1"/>
  <c r="E46" i="1"/>
  <c r="F46" i="1" s="1"/>
  <c r="CA46" i="1"/>
  <c r="CG45" i="1"/>
  <c r="CD46" i="1"/>
  <c r="AT46" i="1"/>
  <c r="AZ46" i="1"/>
  <c r="BB46" i="1" s="1"/>
  <c r="BC46" i="1" s="1"/>
  <c r="AU46" i="1"/>
  <c r="BI46" i="1"/>
  <c r="BH46" i="1"/>
  <c r="BG47" i="1" s="1"/>
  <c r="AO40" i="1"/>
  <c r="BS46" i="1"/>
  <c r="BT46" i="1"/>
  <c r="T47" i="1"/>
  <c r="V47" i="1" s="1"/>
  <c r="O48" i="1" s="1"/>
  <c r="BV46" i="1" l="1"/>
  <c r="BR47" i="1" s="1"/>
  <c r="AD46" i="1"/>
  <c r="AE46" i="1" s="1"/>
  <c r="BO83" i="1"/>
  <c r="BL84" i="1"/>
  <c r="H46" i="1"/>
  <c r="J46" i="1" s="1"/>
  <c r="CB46" i="1"/>
  <c r="BX47" i="1" s="1"/>
  <c r="BY47" i="1"/>
  <c r="CE47" i="1"/>
  <c r="BZ47" i="1"/>
  <c r="CJ46" i="1"/>
  <c r="CM46" i="1"/>
  <c r="CN46" i="1" s="1"/>
  <c r="CF46" i="1"/>
  <c r="Y47" i="1"/>
  <c r="AW46" i="1"/>
  <c r="AV46" i="1"/>
  <c r="AS47" i="1" s="1"/>
  <c r="AJ40" i="1"/>
  <c r="AK40" i="1" s="1"/>
  <c r="AP40" i="1" s="1"/>
  <c r="AM41" i="1"/>
  <c r="AN41" i="1"/>
  <c r="AL42" i="1" s="1"/>
  <c r="G47" i="1"/>
  <c r="CA47" i="1" l="1"/>
  <c r="BM84" i="1"/>
  <c r="BN84" i="1"/>
  <c r="E47" i="1"/>
  <c r="F47" i="1" s="1"/>
  <c r="H47" i="1" s="1"/>
  <c r="J47" i="1" s="1"/>
  <c r="AA47" i="1"/>
  <c r="N48" i="1" s="1"/>
  <c r="CG46" i="1"/>
  <c r="CD47" i="1"/>
  <c r="AI41" i="1"/>
  <c r="AG42" i="1" s="1"/>
  <c r="AH41" i="1"/>
  <c r="AU47" i="1"/>
  <c r="AT47" i="1"/>
  <c r="AZ47" i="1"/>
  <c r="BB47" i="1" s="1"/>
  <c r="BC47" i="1" s="1"/>
  <c r="BT47" i="1"/>
  <c r="BS47" i="1"/>
  <c r="T48" i="1"/>
  <c r="V48" i="1" s="1"/>
  <c r="O49" i="1" s="1"/>
  <c r="AO41" i="1"/>
  <c r="BI47" i="1"/>
  <c r="BH47" i="1"/>
  <c r="BG48" i="1" s="1"/>
  <c r="CB47" i="1" l="1"/>
  <c r="BX48" i="1" s="1"/>
  <c r="AD47" i="1"/>
  <c r="AE47" i="1" s="1"/>
  <c r="BO84" i="1"/>
  <c r="BL85" i="1"/>
  <c r="BV47" i="1"/>
  <c r="BR48" i="1" s="1"/>
  <c r="AJ41" i="1"/>
  <c r="AK41" i="1" s="1"/>
  <c r="AP41" i="1" s="1"/>
  <c r="BY48" i="1"/>
  <c r="BZ48" i="1"/>
  <c r="CE48" i="1"/>
  <c r="AV47" i="1"/>
  <c r="AS48" i="1" s="1"/>
  <c r="AW47" i="1"/>
  <c r="Y48" i="1"/>
  <c r="CF47" i="1"/>
  <c r="CJ47" i="1"/>
  <c r="CM47" i="1"/>
  <c r="CN47" i="1" s="1"/>
  <c r="AN42" i="1"/>
  <c r="AL43" i="1" s="1"/>
  <c r="AM42" i="1"/>
  <c r="G48" i="1"/>
  <c r="BM85" i="1" l="1"/>
  <c r="BN85" i="1"/>
  <c r="CA48" i="1"/>
  <c r="AU48" i="1"/>
  <c r="AT48" i="1"/>
  <c r="AZ48" i="1"/>
  <c r="BB48" i="1" s="1"/>
  <c r="BC48" i="1" s="1"/>
  <c r="CG47" i="1"/>
  <c r="CD48" i="1"/>
  <c r="AH42" i="1"/>
  <c r="AI42" i="1"/>
  <c r="AG43" i="1" s="1"/>
  <c r="E48" i="1"/>
  <c r="F48" i="1" s="1"/>
  <c r="AA48" i="1"/>
  <c r="N49" i="1" s="1"/>
  <c r="BI48" i="1"/>
  <c r="BH48" i="1"/>
  <c r="BG49" i="1" s="1"/>
  <c r="T49" i="1"/>
  <c r="V49" i="1" s="1"/>
  <c r="O50" i="1" s="1"/>
  <c r="BS48" i="1"/>
  <c r="BT48" i="1"/>
  <c r="AO42" i="1"/>
  <c r="BV48" i="1" l="1"/>
  <c r="BR49" i="1" s="1"/>
  <c r="AD48" i="1"/>
  <c r="AE48" i="1" s="1"/>
  <c r="BO85" i="1"/>
  <c r="BL86" i="1"/>
  <c r="H48" i="1"/>
  <c r="J48" i="1" s="1"/>
  <c r="AJ42" i="1"/>
  <c r="AK42" i="1" s="1"/>
  <c r="AP42" i="1" s="1"/>
  <c r="AV48" i="1"/>
  <c r="AS49" i="1" s="1"/>
  <c r="AW48" i="1"/>
  <c r="Y49" i="1"/>
  <c r="CF48" i="1"/>
  <c r="CJ48" i="1"/>
  <c r="CM48" i="1"/>
  <c r="CN48" i="1" s="1"/>
  <c r="CB48" i="1"/>
  <c r="BX49" i="1" s="1"/>
  <c r="AN43" i="1"/>
  <c r="AL44" i="1" s="1"/>
  <c r="AM43" i="1"/>
  <c r="G49" i="1"/>
  <c r="BN86" i="1" l="1"/>
  <c r="BM86" i="1"/>
  <c r="AA49" i="1"/>
  <c r="N50" i="1" s="1"/>
  <c r="E49" i="1"/>
  <c r="F49" i="1" s="1"/>
  <c r="AD49" i="1" s="1"/>
  <c r="AT49" i="1"/>
  <c r="AZ49" i="1"/>
  <c r="BB49" i="1" s="1"/>
  <c r="BC49" i="1" s="1"/>
  <c r="AU49" i="1"/>
  <c r="BZ49" i="1"/>
  <c r="CE49" i="1"/>
  <c r="BY49" i="1"/>
  <c r="CG48" i="1"/>
  <c r="CD49" i="1"/>
  <c r="AH43" i="1"/>
  <c r="AI43" i="1"/>
  <c r="AG44" i="1" s="1"/>
  <c r="BT49" i="1"/>
  <c r="BS49" i="1"/>
  <c r="T50" i="1"/>
  <c r="BH49" i="1"/>
  <c r="BG50" i="1" s="1"/>
  <c r="BI49" i="1"/>
  <c r="AO43" i="1"/>
  <c r="H49" i="1" l="1"/>
  <c r="J49" i="1" s="1"/>
  <c r="BV49" i="1"/>
  <c r="BR50" i="1" s="1"/>
  <c r="U50" i="1"/>
  <c r="G50" i="1" s="1"/>
  <c r="BO86" i="1"/>
  <c r="BL87" i="1"/>
  <c r="CA49" i="1"/>
  <c r="CB49" i="1" s="1"/>
  <c r="BX50" i="1" s="1"/>
  <c r="AJ43" i="1"/>
  <c r="AK43" i="1" s="1"/>
  <c r="AP43" i="1" s="1"/>
  <c r="AV49" i="1"/>
  <c r="AS50" i="1" s="1"/>
  <c r="AW49" i="1"/>
  <c r="AE49" i="1"/>
  <c r="CF49" i="1"/>
  <c r="CJ49" i="1"/>
  <c r="CM49" i="1"/>
  <c r="CN49" i="1" s="1"/>
  <c r="Y50" i="1"/>
  <c r="Z50" i="1" s="1"/>
  <c r="AN44" i="1"/>
  <c r="AL45" i="1" s="1"/>
  <c r="AM44" i="1"/>
  <c r="BN87" i="1" l="1"/>
  <c r="BM87" i="1"/>
  <c r="BU50" i="1"/>
  <c r="BJ50" i="1"/>
  <c r="BI50" i="1" s="1"/>
  <c r="BH50" i="1" s="1"/>
  <c r="BG51" i="1" s="1"/>
  <c r="V50" i="1"/>
  <c r="O51" i="1" s="1"/>
  <c r="T51" i="1" s="1"/>
  <c r="AZ50" i="1"/>
  <c r="BB50" i="1" s="1"/>
  <c r="BC50" i="1" s="1"/>
  <c r="AT50" i="1"/>
  <c r="AU50" i="1" s="1"/>
  <c r="AA50" i="1"/>
  <c r="N51" i="1" s="1"/>
  <c r="E50" i="1"/>
  <c r="F50" i="1" s="1"/>
  <c r="AI44" i="1"/>
  <c r="AG45" i="1" s="1"/>
  <c r="AH44" i="1"/>
  <c r="BY50" i="1"/>
  <c r="BZ50" i="1"/>
  <c r="CE50" i="1"/>
  <c r="CG49" i="1"/>
  <c r="CD50" i="1"/>
  <c r="AO44" i="1"/>
  <c r="BT50" i="1" l="1"/>
  <c r="BS50" i="1" s="1"/>
  <c r="BV50" i="1"/>
  <c r="AD50" i="1"/>
  <c r="AE50" i="1" s="1"/>
  <c r="U51" i="1"/>
  <c r="V51" i="1" s="1"/>
  <c r="O52" i="1" s="1"/>
  <c r="BO87" i="1"/>
  <c r="BL88" i="1"/>
  <c r="CA50" i="1"/>
  <c r="CB50" i="1" s="1"/>
  <c r="BX51" i="1" s="1"/>
  <c r="BZ51" i="1" s="1"/>
  <c r="AJ44" i="1"/>
  <c r="AK44" i="1" s="1"/>
  <c r="AP44" i="1" s="1"/>
  <c r="CF50" i="1"/>
  <c r="CM50" i="1"/>
  <c r="CN50" i="1" s="1"/>
  <c r="CJ50" i="1"/>
  <c r="Y51" i="1"/>
  <c r="Z51" i="1" s="1"/>
  <c r="AW50" i="1"/>
  <c r="AV50" i="1"/>
  <c r="AS51" i="1" s="1"/>
  <c r="H50" i="1"/>
  <c r="J50" i="1" s="1"/>
  <c r="AN45" i="1"/>
  <c r="AL46" i="1" s="1"/>
  <c r="AM45" i="1"/>
  <c r="G51" i="1" l="1"/>
  <c r="CE51" i="1"/>
  <c r="BY51" i="1"/>
  <c r="CA51" i="1" s="1"/>
  <c r="BM88" i="1"/>
  <c r="BN88" i="1"/>
  <c r="BR51" i="1"/>
  <c r="BU51" i="1" s="1"/>
  <c r="BJ51" i="1"/>
  <c r="BI51" i="1" s="1"/>
  <c r="CG50" i="1"/>
  <c r="CD51" i="1"/>
  <c r="AH45" i="1"/>
  <c r="AI45" i="1"/>
  <c r="AG46" i="1" s="1"/>
  <c r="AA51" i="1"/>
  <c r="N52" i="1" s="1"/>
  <c r="E51" i="1"/>
  <c r="F51" i="1" s="1"/>
  <c r="AD51" i="1" s="1"/>
  <c r="AT51" i="1"/>
  <c r="AZ51" i="1"/>
  <c r="BB51" i="1" s="1"/>
  <c r="BC51" i="1" s="1"/>
  <c r="AU51" i="1"/>
  <c r="AO45" i="1"/>
  <c r="T52" i="1"/>
  <c r="BH51" i="1" l="1"/>
  <c r="BG52" i="1" s="1"/>
  <c r="BT51" i="1"/>
  <c r="BS51" i="1" s="1"/>
  <c r="U52" i="1"/>
  <c r="G52" i="1" s="1"/>
  <c r="BO88" i="1"/>
  <c r="BL89" i="1"/>
  <c r="AE51" i="1"/>
  <c r="CF51" i="1"/>
  <c r="CJ51" i="1"/>
  <c r="CM51" i="1"/>
  <c r="CN51" i="1" s="1"/>
  <c r="Y52" i="1"/>
  <c r="Z52" i="1" s="1"/>
  <c r="AJ45" i="1"/>
  <c r="AK45" i="1" s="1"/>
  <c r="AP45" i="1" s="1"/>
  <c r="BV51" i="1"/>
  <c r="H51" i="1"/>
  <c r="J51" i="1" s="1"/>
  <c r="CB51" i="1"/>
  <c r="BX52" i="1" s="1"/>
  <c r="AW51" i="1"/>
  <c r="AV51" i="1"/>
  <c r="AS52" i="1" s="1"/>
  <c r="AN46" i="1"/>
  <c r="AL47" i="1" s="1"/>
  <c r="AM46" i="1"/>
  <c r="BR52" i="1" l="1"/>
  <c r="BU52" i="1" s="1"/>
  <c r="BT52" i="1" s="1"/>
  <c r="BS52" i="1" s="1"/>
  <c r="BJ52" i="1"/>
  <c r="BI52" i="1" s="1"/>
  <c r="BH52" i="1" s="1"/>
  <c r="BG53" i="1" s="1"/>
  <c r="V52" i="1"/>
  <c r="O53" i="1" s="1"/>
  <c r="T53" i="1" s="1"/>
  <c r="BM89" i="1"/>
  <c r="BN89" i="1"/>
  <c r="AH46" i="1"/>
  <c r="AI46" i="1"/>
  <c r="AG47" i="1" s="1"/>
  <c r="E52" i="1"/>
  <c r="F52" i="1" s="1"/>
  <c r="AA52" i="1"/>
  <c r="N53" i="1" s="1"/>
  <c r="AT52" i="1"/>
  <c r="AU52" i="1"/>
  <c r="AZ52" i="1"/>
  <c r="BB52" i="1" s="1"/>
  <c r="BC52" i="1" s="1"/>
  <c r="BZ52" i="1"/>
  <c r="BY52" i="1"/>
  <c r="CE52" i="1"/>
  <c r="CG51" i="1"/>
  <c r="CD52" i="1"/>
  <c r="AO46" i="1"/>
  <c r="U53" i="1" l="1"/>
  <c r="G53" i="1" s="1"/>
  <c r="H52" i="1"/>
  <c r="J52" i="1" s="1"/>
  <c r="AD52" i="1"/>
  <c r="AE52" i="1" s="1"/>
  <c r="BO89" i="1"/>
  <c r="BL90" i="1"/>
  <c r="BV52" i="1"/>
  <c r="BR53" i="1" s="1"/>
  <c r="CA52" i="1"/>
  <c r="CB52" i="1" s="1"/>
  <c r="BX53" i="1" s="1"/>
  <c r="AV52" i="1"/>
  <c r="AS53" i="1" s="1"/>
  <c r="AW52" i="1"/>
  <c r="Y53" i="1"/>
  <c r="Z53" i="1" s="1"/>
  <c r="CJ52" i="1"/>
  <c r="CM52" i="1"/>
  <c r="CN52" i="1" s="1"/>
  <c r="CF52" i="1"/>
  <c r="AJ46" i="1"/>
  <c r="AK46" i="1" s="1"/>
  <c r="AP46" i="1" s="1"/>
  <c r="AN47" i="1"/>
  <c r="AL48" i="1" s="1"/>
  <c r="AM47" i="1"/>
  <c r="BJ53" i="1" l="1"/>
  <c r="BI53" i="1" s="1"/>
  <c r="BH53" i="1" s="1"/>
  <c r="BG54" i="1" s="1"/>
  <c r="BU53" i="1"/>
  <c r="BT53" i="1" s="1"/>
  <c r="BS53" i="1" s="1"/>
  <c r="BM90" i="1"/>
  <c r="BN90" i="1"/>
  <c r="V53" i="1"/>
  <c r="O54" i="1" s="1"/>
  <c r="T54" i="1" s="1"/>
  <c r="BY53" i="1"/>
  <c r="BZ53" i="1"/>
  <c r="CE53" i="1"/>
  <c r="CG52" i="1"/>
  <c r="CD53" i="1"/>
  <c r="AA53" i="1"/>
  <c r="N54" i="1" s="1"/>
  <c r="E53" i="1"/>
  <c r="F53" i="1" s="1"/>
  <c r="AH47" i="1"/>
  <c r="AI47" i="1"/>
  <c r="AG48" i="1" s="1"/>
  <c r="AT53" i="1"/>
  <c r="AU53" i="1"/>
  <c r="AZ53" i="1"/>
  <c r="BB53" i="1" s="1"/>
  <c r="BC53" i="1" s="1"/>
  <c r="AO47" i="1"/>
  <c r="U54" i="1" l="1"/>
  <c r="G54" i="1" s="1"/>
  <c r="BO90" i="1"/>
  <c r="BL91" i="1"/>
  <c r="H53" i="1"/>
  <c r="J53" i="1" s="1"/>
  <c r="AD53" i="1"/>
  <c r="AE53" i="1" s="1"/>
  <c r="CA53" i="1"/>
  <c r="CB53" i="1" s="1"/>
  <c r="BX54" i="1" s="1"/>
  <c r="Y54" i="1"/>
  <c r="Z54" i="1" s="1"/>
  <c r="BV53" i="1"/>
  <c r="BR54" i="1" s="1"/>
  <c r="CF53" i="1"/>
  <c r="CM53" i="1"/>
  <c r="CN53" i="1" s="1"/>
  <c r="CJ53" i="1"/>
  <c r="AW53" i="1"/>
  <c r="AV53" i="1"/>
  <c r="AS54" i="1" s="1"/>
  <c r="AJ47" i="1"/>
  <c r="AK47" i="1" s="1"/>
  <c r="AP47" i="1" s="1"/>
  <c r="AN48" i="1"/>
  <c r="AL49" i="1" s="1"/>
  <c r="AM48" i="1"/>
  <c r="BM91" i="1" l="1"/>
  <c r="BN91" i="1"/>
  <c r="BJ54" i="1"/>
  <c r="BI54" i="1" s="1"/>
  <c r="BH54" i="1" s="1"/>
  <c r="BG55" i="1" s="1"/>
  <c r="BU54" i="1"/>
  <c r="BT54" i="1" s="1"/>
  <c r="BS54" i="1" s="1"/>
  <c r="V54" i="1"/>
  <c r="O55" i="1" s="1"/>
  <c r="T55" i="1" s="1"/>
  <c r="AT54" i="1"/>
  <c r="AU54" i="1"/>
  <c r="AZ54" i="1"/>
  <c r="BB54" i="1" s="1"/>
  <c r="BC54" i="1" s="1"/>
  <c r="CG53" i="1"/>
  <c r="CD54" i="1"/>
  <c r="BZ54" i="1"/>
  <c r="BY54" i="1"/>
  <c r="CE54" i="1"/>
  <c r="E54" i="1"/>
  <c r="F54" i="1" s="1"/>
  <c r="AA54" i="1"/>
  <c r="N55" i="1" s="1"/>
  <c r="AI48" i="1"/>
  <c r="AG49" i="1" s="1"/>
  <c r="AH48" i="1"/>
  <c r="AO48" i="1"/>
  <c r="U55" i="1" l="1"/>
  <c r="G55" i="1" s="1"/>
  <c r="BO91" i="1"/>
  <c r="BL92" i="1"/>
  <c r="H54" i="1"/>
  <c r="J54" i="1" s="1"/>
  <c r="AD54" i="1"/>
  <c r="AE54" i="1" s="1"/>
  <c r="BV54" i="1"/>
  <c r="BR55" i="1" s="1"/>
  <c r="CA54" i="1"/>
  <c r="CB54" i="1" s="1"/>
  <c r="BX55" i="1" s="1"/>
  <c r="BY55" i="1" s="1"/>
  <c r="AJ48" i="1"/>
  <c r="AK48" i="1" s="1"/>
  <c r="AP48" i="1" s="1"/>
  <c r="AW54" i="1"/>
  <c r="AV54" i="1"/>
  <c r="AS55" i="1" s="1"/>
  <c r="Y55" i="1"/>
  <c r="Z55" i="1" s="1"/>
  <c r="CM54" i="1"/>
  <c r="CN54" i="1" s="1"/>
  <c r="CF54" i="1"/>
  <c r="CJ54" i="1"/>
  <c r="AN49" i="1"/>
  <c r="AL50" i="1" s="1"/>
  <c r="AM49" i="1"/>
  <c r="CE55" i="1" l="1"/>
  <c r="BZ55" i="1"/>
  <c r="CA55" i="1" s="1"/>
  <c r="BM92" i="1"/>
  <c r="BN92" i="1"/>
  <c r="BU55" i="1"/>
  <c r="BJ55" i="1"/>
  <c r="BI55" i="1" s="1"/>
  <c r="V55" i="1"/>
  <c r="O56" i="1" s="1"/>
  <c r="T56" i="1" s="1"/>
  <c r="CG54" i="1"/>
  <c r="CD55" i="1"/>
  <c r="E55" i="1"/>
  <c r="F55" i="1" s="1"/>
  <c r="AA55" i="1"/>
  <c r="N56" i="1" s="1"/>
  <c r="AH49" i="1"/>
  <c r="AI49" i="1"/>
  <c r="AG50" i="1" s="1"/>
  <c r="AT55" i="1"/>
  <c r="AZ55" i="1"/>
  <c r="BB55" i="1" s="1"/>
  <c r="BC55" i="1" s="1"/>
  <c r="AU55" i="1"/>
  <c r="AO49" i="1"/>
  <c r="U56" i="1" l="1"/>
  <c r="BO92" i="1"/>
  <c r="BL93" i="1"/>
  <c r="BH55" i="1"/>
  <c r="BG56" i="1" s="1"/>
  <c r="H55" i="1"/>
  <c r="J55" i="1" s="1"/>
  <c r="AD55" i="1"/>
  <c r="AE55" i="1" s="1"/>
  <c r="BT55" i="1"/>
  <c r="BS55" i="1" s="1"/>
  <c r="BV55" i="1"/>
  <c r="AJ49" i="1"/>
  <c r="AK49" i="1" s="1"/>
  <c r="AP49" i="1" s="1"/>
  <c r="Y56" i="1"/>
  <c r="Z56" i="1" s="1"/>
  <c r="CM55" i="1"/>
  <c r="CN55" i="1" s="1"/>
  <c r="CB55" i="1"/>
  <c r="BX56" i="1" s="1"/>
  <c r="CJ55" i="1"/>
  <c r="CF55" i="1"/>
  <c r="AW55" i="1"/>
  <c r="AV55" i="1"/>
  <c r="AS56" i="1" s="1"/>
  <c r="AN50" i="1"/>
  <c r="AL51" i="1" s="1"/>
  <c r="AM50" i="1"/>
  <c r="G56" i="1"/>
  <c r="BR56" i="1" l="1"/>
  <c r="BM93" i="1"/>
  <c r="BN93" i="1"/>
  <c r="BJ56" i="1"/>
  <c r="BI56" i="1" s="1"/>
  <c r="BH56" i="1" s="1"/>
  <c r="BG57" i="1" s="1"/>
  <c r="BU56" i="1"/>
  <c r="V56" i="1"/>
  <c r="O57" i="1" s="1"/>
  <c r="T57" i="1" s="1"/>
  <c r="AA56" i="1"/>
  <c r="N57" i="1" s="1"/>
  <c r="E56" i="1"/>
  <c r="F56" i="1" s="1"/>
  <c r="AT56" i="1"/>
  <c r="AU56" i="1"/>
  <c r="AZ56" i="1"/>
  <c r="BB56" i="1" s="1"/>
  <c r="BC56" i="1" s="1"/>
  <c r="CG55" i="1"/>
  <c r="CD56" i="1"/>
  <c r="AI50" i="1"/>
  <c r="AG51" i="1" s="1"/>
  <c r="AH50" i="1"/>
  <c r="CE56" i="1"/>
  <c r="BY56" i="1"/>
  <c r="BZ56" i="1"/>
  <c r="AO50" i="1"/>
  <c r="BT56" i="1" l="1"/>
  <c r="BS56" i="1" s="1"/>
  <c r="U57" i="1"/>
  <c r="G57" i="1" s="1"/>
  <c r="BO93" i="1"/>
  <c r="BL94" i="1"/>
  <c r="H56" i="1"/>
  <c r="J56" i="1" s="1"/>
  <c r="AD56" i="1"/>
  <c r="AE56" i="1" s="1"/>
  <c r="BV56" i="1"/>
  <c r="CA56" i="1"/>
  <c r="CB56" i="1" s="1"/>
  <c r="BX57" i="1" s="1"/>
  <c r="AW56" i="1"/>
  <c r="AV56" i="1"/>
  <c r="AS57" i="1" s="1"/>
  <c r="CJ56" i="1"/>
  <c r="CF56" i="1"/>
  <c r="CM56" i="1"/>
  <c r="CN56" i="1" s="1"/>
  <c r="AJ50" i="1"/>
  <c r="AK50" i="1" s="1"/>
  <c r="AP50" i="1" s="1"/>
  <c r="Y57" i="1"/>
  <c r="Z57" i="1" s="1"/>
  <c r="AN51" i="1"/>
  <c r="AL52" i="1" s="1"/>
  <c r="AM51" i="1"/>
  <c r="BR57" i="1" l="1"/>
  <c r="BU57" i="1" s="1"/>
  <c r="BT57" i="1" s="1"/>
  <c r="BS57" i="1" s="1"/>
  <c r="BJ57" i="1"/>
  <c r="BI57" i="1" s="1"/>
  <c r="BH57" i="1" s="1"/>
  <c r="BG58" i="1" s="1"/>
  <c r="BM94" i="1"/>
  <c r="BN94" i="1"/>
  <c r="V57" i="1"/>
  <c r="O58" i="1" s="1"/>
  <c r="T58" i="1" s="1"/>
  <c r="AH51" i="1"/>
  <c r="AI51" i="1"/>
  <c r="AG52" i="1" s="1"/>
  <c r="CG56" i="1"/>
  <c r="CD57" i="1"/>
  <c r="CE57" i="1"/>
  <c r="BZ57" i="1"/>
  <c r="BY57" i="1"/>
  <c r="AA57" i="1"/>
  <c r="N58" i="1" s="1"/>
  <c r="E57" i="1"/>
  <c r="F57" i="1" s="1"/>
  <c r="AT57" i="1"/>
  <c r="AU57" i="1"/>
  <c r="AZ57" i="1"/>
  <c r="BB57" i="1" s="1"/>
  <c r="BC57" i="1" s="1"/>
  <c r="AO51" i="1"/>
  <c r="U58" i="1" l="1"/>
  <c r="G58" i="1" s="1"/>
  <c r="BO94" i="1"/>
  <c r="BL95" i="1"/>
  <c r="H57" i="1"/>
  <c r="J57" i="1" s="1"/>
  <c r="AD57" i="1"/>
  <c r="AE57" i="1" s="1"/>
  <c r="CA57" i="1"/>
  <c r="CB57" i="1" s="1"/>
  <c r="BX58" i="1" s="1"/>
  <c r="BY58" i="1" s="1"/>
  <c r="BV57" i="1"/>
  <c r="BR58" i="1" s="1"/>
  <c r="AV57" i="1"/>
  <c r="AS58" i="1" s="1"/>
  <c r="AW57" i="1"/>
  <c r="CM57" i="1"/>
  <c r="CN57" i="1" s="1"/>
  <c r="CJ57" i="1"/>
  <c r="CF57" i="1"/>
  <c r="AJ51" i="1"/>
  <c r="AK51" i="1" s="1"/>
  <c r="AP51" i="1" s="1"/>
  <c r="Y58" i="1"/>
  <c r="Z58" i="1" s="1"/>
  <c r="AN52" i="1"/>
  <c r="AL53" i="1" s="1"/>
  <c r="AM52" i="1"/>
  <c r="CE58" i="1" l="1"/>
  <c r="BZ58" i="1"/>
  <c r="CA58" i="1" s="1"/>
  <c r="BM95" i="1"/>
  <c r="BN95" i="1"/>
  <c r="BU58" i="1"/>
  <c r="BT58" i="1" s="1"/>
  <c r="BS58" i="1" s="1"/>
  <c r="BJ58" i="1"/>
  <c r="V58" i="1"/>
  <c r="O59" i="1" s="1"/>
  <c r="T59" i="1" s="1"/>
  <c r="CG57" i="1"/>
  <c r="CD58" i="1"/>
  <c r="AT58" i="1"/>
  <c r="AU58" i="1" s="1"/>
  <c r="AZ58" i="1"/>
  <c r="BB58" i="1" s="1"/>
  <c r="BC58" i="1" s="1"/>
  <c r="AI52" i="1"/>
  <c r="AG53" i="1" s="1"/>
  <c r="AH52" i="1"/>
  <c r="AA58" i="1"/>
  <c r="N59" i="1" s="1"/>
  <c r="E58" i="1"/>
  <c r="F58" i="1" s="1"/>
  <c r="AO52" i="1"/>
  <c r="BI58" i="1" l="1"/>
  <c r="BH58" i="1" s="1"/>
  <c r="BG59" i="1" s="1"/>
  <c r="U59" i="1"/>
  <c r="H58" i="1"/>
  <c r="J58" i="1" s="1"/>
  <c r="AD58" i="1"/>
  <c r="AE58" i="1" s="1"/>
  <c r="BO95" i="1"/>
  <c r="BL96" i="1"/>
  <c r="BV58" i="1"/>
  <c r="BR59" i="1" s="1"/>
  <c r="AJ52" i="1"/>
  <c r="AK52" i="1" s="1"/>
  <c r="AP52" i="1" s="1"/>
  <c r="AV58" i="1"/>
  <c r="AS59" i="1" s="1"/>
  <c r="AW58" i="1"/>
  <c r="CJ58" i="1"/>
  <c r="CF58" i="1"/>
  <c r="CM58" i="1"/>
  <c r="CN58" i="1" s="1"/>
  <c r="Y59" i="1"/>
  <c r="Z59" i="1" s="1"/>
  <c r="CB58" i="1"/>
  <c r="BX59" i="1" s="1"/>
  <c r="AN53" i="1"/>
  <c r="AL54" i="1" s="1"/>
  <c r="AM53" i="1"/>
  <c r="G59" i="1"/>
  <c r="BN96" i="1" l="1"/>
  <c r="BM96" i="1"/>
  <c r="BJ59" i="1"/>
  <c r="BI59" i="1" s="1"/>
  <c r="BH59" i="1" s="1"/>
  <c r="BG60" i="1" s="1"/>
  <c r="BU59" i="1"/>
  <c r="BT59" i="1" s="1"/>
  <c r="BS59" i="1" s="1"/>
  <c r="V59" i="1"/>
  <c r="O60" i="1" s="1"/>
  <c r="T60" i="1" s="1"/>
  <c r="AT59" i="1"/>
  <c r="AZ59" i="1"/>
  <c r="BB59" i="1" s="1"/>
  <c r="BC59" i="1" s="1"/>
  <c r="AU59" i="1"/>
  <c r="CG58" i="1"/>
  <c r="CD59" i="1"/>
  <c r="BZ59" i="1"/>
  <c r="BY59" i="1"/>
  <c r="CE59" i="1"/>
  <c r="AA59" i="1"/>
  <c r="N60" i="1" s="1"/>
  <c r="Z60" i="1" s="1"/>
  <c r="E59" i="1"/>
  <c r="F59" i="1" s="1"/>
  <c r="AI53" i="1"/>
  <c r="AG54" i="1" s="1"/>
  <c r="AH53" i="1"/>
  <c r="AO53" i="1"/>
  <c r="U60" i="1" l="1"/>
  <c r="G60" i="1" s="1"/>
  <c r="H59" i="1"/>
  <c r="J59" i="1" s="1"/>
  <c r="AD59" i="1"/>
  <c r="AE59" i="1" s="1"/>
  <c r="BO96" i="1"/>
  <c r="BL97" i="1"/>
  <c r="BV59" i="1"/>
  <c r="BR60" i="1" s="1"/>
  <c r="CA59" i="1"/>
  <c r="CB59" i="1" s="1"/>
  <c r="BX60" i="1" s="1"/>
  <c r="AV59" i="1"/>
  <c r="AS60" i="1" s="1"/>
  <c r="AW59" i="1"/>
  <c r="AJ53" i="1"/>
  <c r="AK53" i="1" s="1"/>
  <c r="AP53" i="1" s="1"/>
  <c r="CF59" i="1"/>
  <c r="CM59" i="1"/>
  <c r="CN59" i="1" s="1"/>
  <c r="CJ59" i="1"/>
  <c r="Y60" i="1"/>
  <c r="AM54" i="1"/>
  <c r="AN54" i="1"/>
  <c r="AL55" i="1" s="1"/>
  <c r="BU60" i="1" l="1"/>
  <c r="BT60" i="1" s="1"/>
  <c r="BS60" i="1" s="1"/>
  <c r="BJ60" i="1"/>
  <c r="BI60" i="1" s="1"/>
  <c r="BH60" i="1" s="1"/>
  <c r="BG61" i="1" s="1"/>
  <c r="BM97" i="1"/>
  <c r="BN97" i="1"/>
  <c r="V60" i="1"/>
  <c r="O61" i="1" s="1"/>
  <c r="U61" i="1" s="1"/>
  <c r="AH54" i="1"/>
  <c r="AI54" i="1"/>
  <c r="AG55" i="1" s="1"/>
  <c r="AA60" i="1"/>
  <c r="N61" i="1" s="1"/>
  <c r="Z61" i="1" s="1"/>
  <c r="E60" i="1"/>
  <c r="F60" i="1" s="1"/>
  <c r="AD60" i="1" s="1"/>
  <c r="AT60" i="1"/>
  <c r="AZ60" i="1"/>
  <c r="BB60" i="1" s="1"/>
  <c r="BC60" i="1" s="1"/>
  <c r="AU60" i="1"/>
  <c r="CG59" i="1"/>
  <c r="CD60" i="1"/>
  <c r="CE60" i="1"/>
  <c r="BY60" i="1"/>
  <c r="BZ60" i="1"/>
  <c r="AO54" i="1"/>
  <c r="BV60" i="1" l="1"/>
  <c r="BR61" i="1" s="1"/>
  <c r="BU61" i="1" s="1"/>
  <c r="BJ61" i="1"/>
  <c r="BO97" i="1"/>
  <c r="BL98" i="1"/>
  <c r="T61" i="1"/>
  <c r="V61" i="1" s="1"/>
  <c r="O62" i="1" s="1"/>
  <c r="U62" i="1" s="1"/>
  <c r="H60" i="1"/>
  <c r="J60" i="1" s="1"/>
  <c r="CA60" i="1"/>
  <c r="CB60" i="1" s="1"/>
  <c r="BX61" i="1" s="1"/>
  <c r="BY61" i="1" s="1"/>
  <c r="AV60" i="1"/>
  <c r="AS61" i="1" s="1"/>
  <c r="AW60" i="1"/>
  <c r="AE60" i="1"/>
  <c r="CF60" i="1"/>
  <c r="CJ60" i="1"/>
  <c r="CM60" i="1"/>
  <c r="CN60" i="1" s="1"/>
  <c r="Y61" i="1"/>
  <c r="AJ54" i="1"/>
  <c r="AK54" i="1" s="1"/>
  <c r="AP54" i="1" s="1"/>
  <c r="G61" i="1"/>
  <c r="AM55" i="1"/>
  <c r="AN55" i="1"/>
  <c r="AL56" i="1" s="1"/>
  <c r="BZ61" i="1" l="1"/>
  <c r="CA61" i="1" s="1"/>
  <c r="BM98" i="1"/>
  <c r="BN98" i="1"/>
  <c r="CE61" i="1"/>
  <c r="E61" i="1"/>
  <c r="F61" i="1" s="1"/>
  <c r="AA61" i="1"/>
  <c r="N62" i="1" s="1"/>
  <c r="Z62" i="1" s="1"/>
  <c r="CG60" i="1"/>
  <c r="CD61" i="1"/>
  <c r="AT61" i="1"/>
  <c r="AU61" i="1"/>
  <c r="AZ61" i="1"/>
  <c r="BB61" i="1" s="1"/>
  <c r="BC61" i="1" s="1"/>
  <c r="AH55" i="1"/>
  <c r="AI55" i="1"/>
  <c r="AG56" i="1" s="1"/>
  <c r="AO55" i="1"/>
  <c r="T62" i="1"/>
  <c r="V62" i="1" s="1"/>
  <c r="O63" i="1" s="1"/>
  <c r="U63" i="1" s="1"/>
  <c r="BI61" i="1"/>
  <c r="BH61" i="1" s="1"/>
  <c r="BG62" i="1" s="1"/>
  <c r="BJ62" i="1" s="1"/>
  <c r="BT61" i="1"/>
  <c r="BS61" i="1" s="1"/>
  <c r="BO98" i="1" l="1"/>
  <c r="BL99" i="1"/>
  <c r="CB61" i="1"/>
  <c r="BX62" i="1" s="1"/>
  <c r="BZ62" i="1" s="1"/>
  <c r="AD61" i="1"/>
  <c r="AE61" i="1" s="1"/>
  <c r="BV61" i="1"/>
  <c r="BR62" i="1" s="1"/>
  <c r="BU62" i="1" s="1"/>
  <c r="H61" i="1"/>
  <c r="J61" i="1" s="1"/>
  <c r="AW61" i="1"/>
  <c r="AV61" i="1"/>
  <c r="AS62" i="1" s="1"/>
  <c r="AJ55" i="1"/>
  <c r="AK55" i="1" s="1"/>
  <c r="AP55" i="1" s="1"/>
  <c r="Y62" i="1"/>
  <c r="CF61" i="1"/>
  <c r="CJ61" i="1"/>
  <c r="CM61" i="1"/>
  <c r="CN61" i="1" s="1"/>
  <c r="G62" i="1"/>
  <c r="AM56" i="1"/>
  <c r="AN56" i="1"/>
  <c r="AL57" i="1" s="1"/>
  <c r="CE62" i="1" l="1"/>
  <c r="BY62" i="1"/>
  <c r="BN99" i="1"/>
  <c r="BM99" i="1"/>
  <c r="AH56" i="1"/>
  <c r="AI56" i="1"/>
  <c r="AG57" i="1" s="1"/>
  <c r="AU62" i="1"/>
  <c r="AT62" i="1"/>
  <c r="AZ62" i="1"/>
  <c r="BB62" i="1" s="1"/>
  <c r="BC62" i="1" s="1"/>
  <c r="E62" i="1"/>
  <c r="F62" i="1" s="1"/>
  <c r="AA62" i="1"/>
  <c r="N63" i="1" s="1"/>
  <c r="Z63" i="1" s="1"/>
  <c r="CG61" i="1"/>
  <c r="CD62" i="1"/>
  <c r="CA62" i="1"/>
  <c r="BT62" i="1"/>
  <c r="BS62" i="1" s="1"/>
  <c r="T63" i="1"/>
  <c r="V63" i="1" s="1"/>
  <c r="O64" i="1" s="1"/>
  <c r="U64" i="1" s="1"/>
  <c r="AO56" i="1"/>
  <c r="BI62" i="1"/>
  <c r="BH62" i="1" s="1"/>
  <c r="BG63" i="1" s="1"/>
  <c r="BJ63" i="1" s="1"/>
  <c r="BV62" i="1" l="1"/>
  <c r="AD62" i="1"/>
  <c r="AE62" i="1" s="1"/>
  <c r="BO99" i="1"/>
  <c r="BL100" i="1"/>
  <c r="BR63" i="1"/>
  <c r="BU63" i="1" s="1"/>
  <c r="Y63" i="1"/>
  <c r="CJ62" i="1"/>
  <c r="CM62" i="1"/>
  <c r="CN62" i="1" s="1"/>
  <c r="CF62" i="1"/>
  <c r="CB62" i="1"/>
  <c r="BX63" i="1" s="1"/>
  <c r="AW62" i="1"/>
  <c r="AV62" i="1"/>
  <c r="AS63" i="1" s="1"/>
  <c r="H62" i="1"/>
  <c r="J62" i="1" s="1"/>
  <c r="AJ56" i="1"/>
  <c r="AK56" i="1" s="1"/>
  <c r="AP56" i="1" s="1"/>
  <c r="AN57" i="1"/>
  <c r="AL58" i="1" s="1"/>
  <c r="AM57" i="1"/>
  <c r="G63" i="1"/>
  <c r="BM100" i="1" l="1"/>
  <c r="BN100" i="1"/>
  <c r="AU63" i="1"/>
  <c r="AT63" i="1"/>
  <c r="AZ63" i="1"/>
  <c r="BB63" i="1" s="1"/>
  <c r="BC63" i="1" s="1"/>
  <c r="BZ63" i="1"/>
  <c r="CE63" i="1"/>
  <c r="BY63" i="1"/>
  <c r="CG62" i="1"/>
  <c r="CD63" i="1"/>
  <c r="AH57" i="1"/>
  <c r="AI57" i="1"/>
  <c r="AG58" i="1" s="1"/>
  <c r="E63" i="1"/>
  <c r="F63" i="1" s="1"/>
  <c r="AA63" i="1"/>
  <c r="N64" i="1" s="1"/>
  <c r="Z64" i="1" s="1"/>
  <c r="BI63" i="1"/>
  <c r="BH63" i="1" s="1"/>
  <c r="BG64" i="1" s="1"/>
  <c r="BJ64" i="1" s="1"/>
  <c r="BT63" i="1"/>
  <c r="BS63" i="1" s="1"/>
  <c r="T64" i="1"/>
  <c r="V64" i="1" s="1"/>
  <c r="O65" i="1" s="1"/>
  <c r="U65" i="1" s="1"/>
  <c r="AO57" i="1"/>
  <c r="BO100" i="1" l="1"/>
  <c r="BL101" i="1"/>
  <c r="BV63" i="1"/>
  <c r="BR64" i="1" s="1"/>
  <c r="BU64" i="1" s="1"/>
  <c r="AD63" i="1"/>
  <c r="AE63" i="1" s="1"/>
  <c r="Y64" i="1"/>
  <c r="CF63" i="1"/>
  <c r="CJ63" i="1"/>
  <c r="CM63" i="1"/>
  <c r="CN63" i="1" s="1"/>
  <c r="CA63" i="1"/>
  <c r="CB63" i="1" s="1"/>
  <c r="BX64" i="1" s="1"/>
  <c r="AJ57" i="1"/>
  <c r="AK57" i="1" s="1"/>
  <c r="AP57" i="1" s="1"/>
  <c r="H63" i="1"/>
  <c r="J63" i="1" s="1"/>
  <c r="AW63" i="1"/>
  <c r="AV63" i="1"/>
  <c r="AS64" i="1" s="1"/>
  <c r="AN58" i="1"/>
  <c r="AL59" i="1" s="1"/>
  <c r="AM58" i="1"/>
  <c r="G64" i="1"/>
  <c r="BM101" i="1" l="1"/>
  <c r="BN101" i="1"/>
  <c r="AH58" i="1"/>
  <c r="AI58" i="1"/>
  <c r="AG59" i="1" s="1"/>
  <c r="BY64" i="1"/>
  <c r="BZ64" i="1"/>
  <c r="CE64" i="1"/>
  <c r="AU64" i="1"/>
  <c r="AZ64" i="1"/>
  <c r="BB64" i="1" s="1"/>
  <c r="BC64" i="1" s="1"/>
  <c r="AT64" i="1"/>
  <c r="CG63" i="1"/>
  <c r="CD64" i="1"/>
  <c r="AA64" i="1"/>
  <c r="N65" i="1" s="1"/>
  <c r="Z65" i="1" s="1"/>
  <c r="E64" i="1"/>
  <c r="F64" i="1" s="1"/>
  <c r="BT64" i="1"/>
  <c r="BS64" i="1" s="1"/>
  <c r="T65" i="1"/>
  <c r="V65" i="1" s="1"/>
  <c r="O66" i="1" s="1"/>
  <c r="U66" i="1" s="1"/>
  <c r="BI64" i="1"/>
  <c r="BH64" i="1" s="1"/>
  <c r="BG65" i="1" s="1"/>
  <c r="BJ65" i="1" s="1"/>
  <c r="AO58" i="1"/>
  <c r="BV64" i="1" l="1"/>
  <c r="BR65" i="1" s="1"/>
  <c r="BU65" i="1" s="1"/>
  <c r="AD64" i="1"/>
  <c r="AE64" i="1" s="1"/>
  <c r="BO101" i="1"/>
  <c r="BL102" i="1"/>
  <c r="AV64" i="1"/>
  <c r="AS65" i="1" s="1"/>
  <c r="AW64" i="1"/>
  <c r="CJ64" i="1"/>
  <c r="CF64" i="1"/>
  <c r="CM64" i="1"/>
  <c r="CN64" i="1" s="1"/>
  <c r="CA64" i="1"/>
  <c r="CB64" i="1" s="1"/>
  <c r="BX65" i="1" s="1"/>
  <c r="Y65" i="1"/>
  <c r="H64" i="1"/>
  <c r="J64" i="1" s="1"/>
  <c r="AJ58" i="1"/>
  <c r="AK58" i="1" s="1"/>
  <c r="AP58" i="1" s="1"/>
  <c r="G65" i="1"/>
  <c r="AN59" i="1"/>
  <c r="AL60" i="1" s="1"/>
  <c r="AM59" i="1"/>
  <c r="BM102" i="1" l="1"/>
  <c r="BN102" i="1"/>
  <c r="E65" i="1"/>
  <c r="F65" i="1" s="1"/>
  <c r="AD65" i="1" s="1"/>
  <c r="AA65" i="1"/>
  <c r="N66" i="1" s="1"/>
  <c r="Z66" i="1" s="1"/>
  <c r="BZ65" i="1"/>
  <c r="CE65" i="1"/>
  <c r="BY65" i="1"/>
  <c r="H65" i="1"/>
  <c r="J65" i="1" s="1"/>
  <c r="CG64" i="1"/>
  <c r="CD65" i="1"/>
  <c r="AH59" i="1"/>
  <c r="AI59" i="1"/>
  <c r="AG60" i="1" s="1"/>
  <c r="AU65" i="1"/>
  <c r="AZ65" i="1"/>
  <c r="BB65" i="1" s="1"/>
  <c r="BC65" i="1" s="1"/>
  <c r="AT65" i="1"/>
  <c r="T66" i="1"/>
  <c r="V66" i="1" s="1"/>
  <c r="O67" i="1" s="1"/>
  <c r="U67" i="1" s="1"/>
  <c r="BT65" i="1"/>
  <c r="BS65" i="1" s="1"/>
  <c r="AO59" i="1"/>
  <c r="BI65" i="1"/>
  <c r="BH65" i="1" s="1"/>
  <c r="BG66" i="1" s="1"/>
  <c r="BJ66" i="1" s="1"/>
  <c r="BV65" i="1" l="1"/>
  <c r="BO102" i="1"/>
  <c r="BR66" i="1"/>
  <c r="BU66" i="1" s="1"/>
  <c r="AW65" i="1"/>
  <c r="AV65" i="1"/>
  <c r="AS66" i="1" s="1"/>
  <c r="CA65" i="1"/>
  <c r="CB65" i="1" s="1"/>
  <c r="BX66" i="1" s="1"/>
  <c r="Y66" i="1"/>
  <c r="AJ59" i="1"/>
  <c r="AK59" i="1" s="1"/>
  <c r="AP59" i="1" s="1"/>
  <c r="AE65" i="1"/>
  <c r="CM65" i="1"/>
  <c r="CN65" i="1" s="1"/>
  <c r="CJ65" i="1"/>
  <c r="CF65" i="1"/>
  <c r="AM60" i="1"/>
  <c r="AN60" i="1"/>
  <c r="AL61" i="1" s="1"/>
  <c r="G66" i="1"/>
  <c r="AI60" i="1" l="1"/>
  <c r="AG61" i="1" s="1"/>
  <c r="AH60" i="1"/>
  <c r="CG65" i="1"/>
  <c r="CD66" i="1"/>
  <c r="E66" i="1"/>
  <c r="F66" i="1" s="1"/>
  <c r="AA66" i="1"/>
  <c r="N67" i="1" s="1"/>
  <c r="Z67" i="1" s="1"/>
  <c r="BZ66" i="1"/>
  <c r="BY66" i="1"/>
  <c r="CE66" i="1"/>
  <c r="AT66" i="1"/>
  <c r="AZ66" i="1"/>
  <c r="BB66" i="1" s="1"/>
  <c r="BC66" i="1" s="1"/>
  <c r="AU66" i="1"/>
  <c r="BT66" i="1"/>
  <c r="BS66" i="1" s="1"/>
  <c r="AO60" i="1"/>
  <c r="T67" i="1"/>
  <c r="V67" i="1" s="1"/>
  <c r="O68" i="1" s="1"/>
  <c r="U68" i="1" s="1"/>
  <c r="BI66" i="1"/>
  <c r="BH66" i="1" s="1"/>
  <c r="BG67" i="1" s="1"/>
  <c r="BJ67" i="1" s="1"/>
  <c r="BV66" i="1" l="1"/>
  <c r="BR67" i="1" s="1"/>
  <c r="BU67" i="1" s="1"/>
  <c r="AD66" i="1"/>
  <c r="AE66" i="1" s="1"/>
  <c r="CA66" i="1"/>
  <c r="CB66" i="1" s="1"/>
  <c r="BX67" i="1" s="1"/>
  <c r="BY67" i="1" s="1"/>
  <c r="Y67" i="1"/>
  <c r="CM66" i="1"/>
  <c r="CN66" i="1" s="1"/>
  <c r="CF66" i="1"/>
  <c r="CJ66" i="1"/>
  <c r="AW66" i="1"/>
  <c r="AV66" i="1"/>
  <c r="AS67" i="1" s="1"/>
  <c r="AJ60" i="1"/>
  <c r="AK60" i="1" s="1"/>
  <c r="AP60" i="1" s="1"/>
  <c r="H66" i="1"/>
  <c r="J66" i="1" s="1"/>
  <c r="G67" i="1"/>
  <c r="AM61" i="1"/>
  <c r="AN61" i="1"/>
  <c r="AL62" i="1" s="1"/>
  <c r="BZ67" i="1" l="1"/>
  <c r="CA67" i="1" s="1"/>
  <c r="CE67" i="1"/>
  <c r="CG66" i="1"/>
  <c r="CD67" i="1"/>
  <c r="AZ67" i="1"/>
  <c r="BB67" i="1" s="1"/>
  <c r="BC67" i="1" s="1"/>
  <c r="AU67" i="1"/>
  <c r="AT67" i="1"/>
  <c r="AH61" i="1"/>
  <c r="AI61" i="1"/>
  <c r="AG62" i="1" s="1"/>
  <c r="AA67" i="1"/>
  <c r="N68" i="1" s="1"/>
  <c r="Z68" i="1" s="1"/>
  <c r="E67" i="1"/>
  <c r="F67" i="1" s="1"/>
  <c r="BT67" i="1"/>
  <c r="BS67" i="1" s="1"/>
  <c r="T68" i="1"/>
  <c r="V68" i="1" s="1"/>
  <c r="O69" i="1" s="1"/>
  <c r="U69" i="1" s="1"/>
  <c r="AO61" i="1"/>
  <c r="BI67" i="1"/>
  <c r="BH67" i="1" s="1"/>
  <c r="BG68" i="1" s="1"/>
  <c r="BJ68" i="1" s="1"/>
  <c r="BV67" i="1" l="1"/>
  <c r="BR68" i="1" s="1"/>
  <c r="BU68" i="1" s="1"/>
  <c r="AD67" i="1"/>
  <c r="AE67" i="1" s="1"/>
  <c r="AV67" i="1"/>
  <c r="AS68" i="1" s="1"/>
  <c r="AW67" i="1"/>
  <c r="CM67" i="1"/>
  <c r="CN67" i="1" s="1"/>
  <c r="CJ67" i="1"/>
  <c r="CF67" i="1"/>
  <c r="Y68" i="1"/>
  <c r="CB67" i="1"/>
  <c r="BX68" i="1" s="1"/>
  <c r="AJ61" i="1"/>
  <c r="AK61" i="1" s="1"/>
  <c r="AP61" i="1" s="1"/>
  <c r="H67" i="1"/>
  <c r="J67" i="1" s="1"/>
  <c r="AM62" i="1"/>
  <c r="AN62" i="1"/>
  <c r="AL63" i="1" s="1"/>
  <c r="G68" i="1"/>
  <c r="BY68" i="1" l="1"/>
  <c r="BZ68" i="1"/>
  <c r="CE68" i="1"/>
  <c r="AA68" i="1"/>
  <c r="N69" i="1" s="1"/>
  <c r="Z69" i="1" s="1"/>
  <c r="E68" i="1"/>
  <c r="F68" i="1" s="1"/>
  <c r="CG67" i="1"/>
  <c r="CD68" i="1"/>
  <c r="AH62" i="1"/>
  <c r="AI62" i="1"/>
  <c r="AG63" i="1" s="1"/>
  <c r="AT68" i="1"/>
  <c r="AZ68" i="1"/>
  <c r="BB68" i="1" s="1"/>
  <c r="BC68" i="1" s="1"/>
  <c r="AU68" i="1"/>
  <c r="BI68" i="1"/>
  <c r="BH68" i="1" s="1"/>
  <c r="BG69" i="1" s="1"/>
  <c r="BJ69" i="1" s="1"/>
  <c r="BT68" i="1"/>
  <c r="BS68" i="1" s="1"/>
  <c r="T69" i="1"/>
  <c r="V69" i="1" s="1"/>
  <c r="O70" i="1" s="1"/>
  <c r="U70" i="1" s="1"/>
  <c r="AO62" i="1"/>
  <c r="CA68" i="1" l="1"/>
  <c r="CB68" i="1" s="1"/>
  <c r="BX69" i="1" s="1"/>
  <c r="BV68" i="1"/>
  <c r="BR69" i="1" s="1"/>
  <c r="BU69" i="1" s="1"/>
  <c r="AD68" i="1"/>
  <c r="AE68" i="1" s="1"/>
  <c r="H68" i="1"/>
  <c r="J68" i="1" s="1"/>
  <c r="AW68" i="1"/>
  <c r="AV68" i="1"/>
  <c r="AS69" i="1" s="1"/>
  <c r="CM68" i="1"/>
  <c r="CN68" i="1" s="1"/>
  <c r="CF68" i="1"/>
  <c r="CJ68" i="1"/>
  <c r="Y69" i="1"/>
  <c r="AJ62" i="1"/>
  <c r="AK62" i="1" s="1"/>
  <c r="AP62" i="1" s="1"/>
  <c r="G69" i="1"/>
  <c r="AN63" i="1"/>
  <c r="AL64" i="1" s="1"/>
  <c r="AM63" i="1"/>
  <c r="AA69" i="1" l="1"/>
  <c r="N70" i="1" s="1"/>
  <c r="Z70" i="1" s="1"/>
  <c r="E69" i="1"/>
  <c r="F69" i="1" s="1"/>
  <c r="AD69" i="1" s="1"/>
  <c r="BZ69" i="1"/>
  <c r="BY69" i="1"/>
  <c r="CE69" i="1"/>
  <c r="CG68" i="1"/>
  <c r="CD69" i="1"/>
  <c r="AI63" i="1"/>
  <c r="AG64" i="1" s="1"/>
  <c r="AH63" i="1"/>
  <c r="AU69" i="1"/>
  <c r="AT69" i="1"/>
  <c r="AZ69" i="1"/>
  <c r="BB69" i="1" s="1"/>
  <c r="BC69" i="1" s="1"/>
  <c r="AO63" i="1"/>
  <c r="T70" i="1"/>
  <c r="V70" i="1" s="1"/>
  <c r="O71" i="1" s="1"/>
  <c r="U71" i="1" s="1"/>
  <c r="BT69" i="1"/>
  <c r="BS69" i="1" s="1"/>
  <c r="BV69" i="1"/>
  <c r="BI69" i="1"/>
  <c r="BH69" i="1" s="1"/>
  <c r="BG70" i="1" s="1"/>
  <c r="BJ70" i="1" s="1"/>
  <c r="CA69" i="1" l="1"/>
  <c r="CB69" i="1" s="1"/>
  <c r="BX70" i="1" s="1"/>
  <c r="AW69" i="1"/>
  <c r="AV69" i="1"/>
  <c r="AS70" i="1" s="1"/>
  <c r="AE69" i="1"/>
  <c r="CM69" i="1"/>
  <c r="CN69" i="1" s="1"/>
  <c r="CJ69" i="1"/>
  <c r="CF69" i="1"/>
  <c r="Y70" i="1"/>
  <c r="AJ63" i="1"/>
  <c r="AK63" i="1" s="1"/>
  <c r="AP63" i="1" s="1"/>
  <c r="H69" i="1"/>
  <c r="J69" i="1" s="1"/>
  <c r="G70" i="1"/>
  <c r="AM64" i="1"/>
  <c r="AN64" i="1"/>
  <c r="AL65" i="1" s="1"/>
  <c r="BR70" i="1"/>
  <c r="BU70" i="1" s="1"/>
  <c r="AA70" i="1" l="1"/>
  <c r="N71" i="1" s="1"/>
  <c r="Z71" i="1" s="1"/>
  <c r="E70" i="1"/>
  <c r="F70" i="1" s="1"/>
  <c r="CG69" i="1"/>
  <c r="CD70" i="1"/>
  <c r="AT70" i="1"/>
  <c r="AZ70" i="1"/>
  <c r="BB70" i="1" s="1"/>
  <c r="BC70" i="1" s="1"/>
  <c r="AU70" i="1"/>
  <c r="AI64" i="1"/>
  <c r="AG65" i="1" s="1"/>
  <c r="AH64" i="1"/>
  <c r="BZ70" i="1"/>
  <c r="BY70" i="1"/>
  <c r="CE70" i="1"/>
  <c r="AO64" i="1"/>
  <c r="T71" i="1"/>
  <c r="V71" i="1" s="1"/>
  <c r="O72" i="1" s="1"/>
  <c r="U72" i="1" s="1"/>
  <c r="BT70" i="1"/>
  <c r="BS70" i="1" s="1"/>
  <c r="BV70" i="1"/>
  <c r="BI70" i="1"/>
  <c r="BH70" i="1" s="1"/>
  <c r="BG71" i="1" s="1"/>
  <c r="BJ71" i="1" s="1"/>
  <c r="BR71" i="1" l="1"/>
  <c r="BU71" i="1" s="1"/>
  <c r="H70" i="1"/>
  <c r="J70" i="1" s="1"/>
  <c r="AD70" i="1"/>
  <c r="AE70" i="1" s="1"/>
  <c r="CA70" i="1"/>
  <c r="CB70" i="1" s="1"/>
  <c r="BX71" i="1" s="1"/>
  <c r="BY71" i="1" s="1"/>
  <c r="CF70" i="1"/>
  <c r="CJ70" i="1"/>
  <c r="CM70" i="1"/>
  <c r="CN70" i="1" s="1"/>
  <c r="AW70" i="1"/>
  <c r="AV70" i="1"/>
  <c r="AS71" i="1" s="1"/>
  <c r="AJ64" i="1"/>
  <c r="AK64" i="1" s="1"/>
  <c r="AP64" i="1" s="1"/>
  <c r="Y71" i="1"/>
  <c r="G71" i="1"/>
  <c r="AN65" i="1"/>
  <c r="AL66" i="1" s="1"/>
  <c r="AM65" i="1"/>
  <c r="BZ71" i="1" l="1"/>
  <c r="CA71" i="1" s="1"/>
  <c r="CE71" i="1"/>
  <c r="AZ71" i="1"/>
  <c r="BB71" i="1" s="1"/>
  <c r="BC71" i="1" s="1"/>
  <c r="AT71" i="1"/>
  <c r="AU71" i="1"/>
  <c r="AA71" i="1"/>
  <c r="N72" i="1" s="1"/>
  <c r="Z72" i="1" s="1"/>
  <c r="E71" i="1"/>
  <c r="F71" i="1" s="1"/>
  <c r="AD71" i="1" s="1"/>
  <c r="AH65" i="1"/>
  <c r="AI65" i="1"/>
  <c r="AG66" i="1" s="1"/>
  <c r="CG70" i="1"/>
  <c r="CD71" i="1"/>
  <c r="AO65" i="1"/>
  <c r="BI71" i="1"/>
  <c r="BH71" i="1" s="1"/>
  <c r="BG72" i="1" s="1"/>
  <c r="BJ72" i="1" s="1"/>
  <c r="T72" i="1"/>
  <c r="V72" i="1" s="1"/>
  <c r="O73" i="1" s="1"/>
  <c r="U73" i="1" s="1"/>
  <c r="BT71" i="1"/>
  <c r="BS71" i="1" s="1"/>
  <c r="H71" i="1" l="1"/>
  <c r="J71" i="1" s="1"/>
  <c r="AJ65" i="1"/>
  <c r="AK65" i="1" s="1"/>
  <c r="AP65" i="1" s="1"/>
  <c r="AE71" i="1"/>
  <c r="CF71" i="1"/>
  <c r="CJ71" i="1"/>
  <c r="CM71" i="1"/>
  <c r="CN71" i="1" s="1"/>
  <c r="Y72" i="1"/>
  <c r="AV71" i="1"/>
  <c r="AS72" i="1" s="1"/>
  <c r="AW71" i="1"/>
  <c r="BV71" i="1"/>
  <c r="BR72" i="1" s="1"/>
  <c r="BU72" i="1" s="1"/>
  <c r="CB71" i="1"/>
  <c r="BX72" i="1" s="1"/>
  <c r="G72" i="1"/>
  <c r="AM66" i="1"/>
  <c r="AN66" i="1"/>
  <c r="AL67" i="1" s="1"/>
  <c r="CG71" i="1" l="1"/>
  <c r="CD72" i="1"/>
  <c r="CE72" i="1"/>
  <c r="BY72" i="1"/>
  <c r="BZ72" i="1"/>
  <c r="AT72" i="1"/>
  <c r="AU72" i="1"/>
  <c r="AZ72" i="1"/>
  <c r="BB72" i="1" s="1"/>
  <c r="BC72" i="1" s="1"/>
  <c r="E72" i="1"/>
  <c r="F72" i="1" s="1"/>
  <c r="AA72" i="1"/>
  <c r="N73" i="1" s="1"/>
  <c r="Z73" i="1" s="1"/>
  <c r="AI66" i="1"/>
  <c r="AG67" i="1" s="1"/>
  <c r="AH66" i="1"/>
  <c r="AO66" i="1"/>
  <c r="BT72" i="1"/>
  <c r="BS72" i="1" s="1"/>
  <c r="BI72" i="1"/>
  <c r="BH72" i="1" s="1"/>
  <c r="BG73" i="1" s="1"/>
  <c r="BJ73" i="1" s="1"/>
  <c r="T73" i="1"/>
  <c r="V73" i="1" s="1"/>
  <c r="O74" i="1" s="1"/>
  <c r="U74" i="1" s="1"/>
  <c r="BV72" i="1" l="1"/>
  <c r="BR73" i="1" s="1"/>
  <c r="BU73" i="1" s="1"/>
  <c r="AD72" i="1"/>
  <c r="AE72" i="1" s="1"/>
  <c r="CA72" i="1"/>
  <c r="CB72" i="1" s="1"/>
  <c r="BX73" i="1" s="1"/>
  <c r="AW72" i="1"/>
  <c r="AV72" i="1"/>
  <c r="AS73" i="1" s="1"/>
  <c r="AJ66" i="1"/>
  <c r="AK66" i="1" s="1"/>
  <c r="AP66" i="1" s="1"/>
  <c r="Y73" i="1"/>
  <c r="CJ72" i="1"/>
  <c r="CM72" i="1"/>
  <c r="CN72" i="1" s="1"/>
  <c r="CF72" i="1"/>
  <c r="H72" i="1"/>
  <c r="J72" i="1" s="1"/>
  <c r="AM67" i="1"/>
  <c r="AN67" i="1"/>
  <c r="AL68" i="1" s="1"/>
  <c r="G73" i="1"/>
  <c r="E73" i="1" l="1"/>
  <c r="F73" i="1" s="1"/>
  <c r="AD73" i="1" s="1"/>
  <c r="AA73" i="1"/>
  <c r="N74" i="1" s="1"/>
  <c r="Z74" i="1" s="1"/>
  <c r="AH67" i="1"/>
  <c r="AI67" i="1"/>
  <c r="AG68" i="1" s="1"/>
  <c r="CG72" i="1"/>
  <c r="CD73" i="1"/>
  <c r="CE73" i="1"/>
  <c r="BY73" i="1"/>
  <c r="BZ73" i="1"/>
  <c r="AT73" i="1"/>
  <c r="AZ73" i="1"/>
  <c r="BB73" i="1" s="1"/>
  <c r="BC73" i="1" s="1"/>
  <c r="AU73" i="1"/>
  <c r="H73" i="1"/>
  <c r="J73" i="1" s="1"/>
  <c r="T74" i="1"/>
  <c r="V74" i="1" s="1"/>
  <c r="O75" i="1" s="1"/>
  <c r="U75" i="1" s="1"/>
  <c r="BI73" i="1"/>
  <c r="BH73" i="1" s="1"/>
  <c r="BG74" i="1" s="1"/>
  <c r="BJ74" i="1" s="1"/>
  <c r="BT73" i="1"/>
  <c r="BS73" i="1" s="1"/>
  <c r="BV73" i="1"/>
  <c r="AO67" i="1"/>
  <c r="BR74" i="1" l="1"/>
  <c r="BU74" i="1" s="1"/>
  <c r="AV73" i="1"/>
  <c r="AS74" i="1" s="1"/>
  <c r="AW73" i="1"/>
  <c r="AJ67" i="1"/>
  <c r="AK67" i="1" s="1"/>
  <c r="AP67" i="1" s="1"/>
  <c r="Y74" i="1"/>
  <c r="CA73" i="1"/>
  <c r="CB73" i="1" s="1"/>
  <c r="BX74" i="1" s="1"/>
  <c r="AE73" i="1"/>
  <c r="CF73" i="1"/>
  <c r="CM73" i="1"/>
  <c r="CN73" i="1" s="1"/>
  <c r="CJ73" i="1"/>
  <c r="AN68" i="1"/>
  <c r="AL69" i="1" s="1"/>
  <c r="AM68" i="1"/>
  <c r="G74" i="1"/>
  <c r="AA74" i="1" l="1"/>
  <c r="N75" i="1" s="1"/>
  <c r="Z75" i="1" s="1"/>
  <c r="E74" i="1"/>
  <c r="F74" i="1" s="1"/>
  <c r="AD74" i="1" s="1"/>
  <c r="AI68" i="1"/>
  <c r="AG69" i="1" s="1"/>
  <c r="AH68" i="1"/>
  <c r="CG73" i="1"/>
  <c r="CD74" i="1"/>
  <c r="BY74" i="1"/>
  <c r="BZ74" i="1"/>
  <c r="CE74" i="1"/>
  <c r="AT74" i="1"/>
  <c r="AZ74" i="1"/>
  <c r="BB74" i="1" s="1"/>
  <c r="BC74" i="1" s="1"/>
  <c r="AU74" i="1"/>
  <c r="BI74" i="1"/>
  <c r="BH74" i="1" s="1"/>
  <c r="BG75" i="1" s="1"/>
  <c r="BJ75" i="1" s="1"/>
  <c r="BT74" i="1"/>
  <c r="BS74" i="1" s="1"/>
  <c r="T75" i="1"/>
  <c r="V75" i="1" s="1"/>
  <c r="O76" i="1" s="1"/>
  <c r="U76" i="1" s="1"/>
  <c r="AO68" i="1"/>
  <c r="H74" i="1" l="1"/>
  <c r="J74" i="1" s="1"/>
  <c r="BV74" i="1"/>
  <c r="BR75" i="1"/>
  <c r="BU75" i="1" s="1"/>
  <c r="AW74" i="1"/>
  <c r="AV74" i="1"/>
  <c r="AS75" i="1" s="1"/>
  <c r="AJ68" i="1"/>
  <c r="AK68" i="1" s="1"/>
  <c r="AP68" i="1" s="1"/>
  <c r="AE74" i="1"/>
  <c r="CF74" i="1"/>
  <c r="CJ74" i="1"/>
  <c r="CM74" i="1"/>
  <c r="CN74" i="1" s="1"/>
  <c r="CA74" i="1"/>
  <c r="CB74" i="1" s="1"/>
  <c r="BX75" i="1" s="1"/>
  <c r="Y75" i="1"/>
  <c r="G75" i="1"/>
  <c r="AN69" i="1"/>
  <c r="AL70" i="1" s="1"/>
  <c r="AM69" i="1"/>
  <c r="E75" i="1" l="1"/>
  <c r="F75" i="1" s="1"/>
  <c r="AD75" i="1" s="1"/>
  <c r="AA75" i="1"/>
  <c r="N76" i="1" s="1"/>
  <c r="Z76" i="1" s="1"/>
  <c r="AH69" i="1"/>
  <c r="AI69" i="1"/>
  <c r="AG70" i="1" s="1"/>
  <c r="AZ75" i="1"/>
  <c r="BB75" i="1" s="1"/>
  <c r="BC75" i="1" s="1"/>
  <c r="AU75" i="1"/>
  <c r="AT75" i="1"/>
  <c r="BY75" i="1"/>
  <c r="CE75" i="1"/>
  <c r="BZ75" i="1"/>
  <c r="CG74" i="1"/>
  <c r="CD75" i="1"/>
  <c r="AO69" i="1"/>
  <c r="BI75" i="1"/>
  <c r="BH75" i="1" s="1"/>
  <c r="BG76" i="1" s="1"/>
  <c r="BJ76" i="1" s="1"/>
  <c r="BT75" i="1"/>
  <c r="BS75" i="1" s="1"/>
  <c r="T76" i="1"/>
  <c r="V76" i="1" s="1"/>
  <c r="O77" i="1" s="1"/>
  <c r="U77" i="1" s="1"/>
  <c r="BV75" i="1" l="1"/>
  <c r="BR76" i="1" s="1"/>
  <c r="BU76" i="1" s="1"/>
  <c r="H75" i="1"/>
  <c r="J75" i="1" s="1"/>
  <c r="CA75" i="1"/>
  <c r="CB75" i="1" s="1"/>
  <c r="BX76" i="1" s="1"/>
  <c r="BY76" i="1" s="1"/>
  <c r="AW75" i="1"/>
  <c r="AV75" i="1"/>
  <c r="AS76" i="1" s="1"/>
  <c r="AJ69" i="1"/>
  <c r="AK69" i="1" s="1"/>
  <c r="AP69" i="1" s="1"/>
  <c r="Y76" i="1"/>
  <c r="AE75" i="1"/>
  <c r="CJ75" i="1"/>
  <c r="CF75" i="1"/>
  <c r="CM75" i="1"/>
  <c r="CN75" i="1" s="1"/>
  <c r="G76" i="1"/>
  <c r="AM70" i="1"/>
  <c r="AN70" i="1"/>
  <c r="AL71" i="1" s="1"/>
  <c r="BZ76" i="1" l="1"/>
  <c r="CA76" i="1" s="1"/>
  <c r="CE76" i="1"/>
  <c r="AH70" i="1"/>
  <c r="AI70" i="1"/>
  <c r="AG71" i="1" s="1"/>
  <c r="AZ76" i="1"/>
  <c r="BB76" i="1" s="1"/>
  <c r="BC76" i="1" s="1"/>
  <c r="AU76" i="1"/>
  <c r="AT76" i="1"/>
  <c r="CG75" i="1"/>
  <c r="CD76" i="1"/>
  <c r="E76" i="1"/>
  <c r="F76" i="1" s="1"/>
  <c r="AA76" i="1"/>
  <c r="N77" i="1" s="1"/>
  <c r="Z77" i="1" s="1"/>
  <c r="BI76" i="1"/>
  <c r="BH76" i="1" s="1"/>
  <c r="BG77" i="1" s="1"/>
  <c r="BJ77" i="1" s="1"/>
  <c r="AO70" i="1"/>
  <c r="BT76" i="1"/>
  <c r="BS76" i="1" s="1"/>
  <c r="T77" i="1"/>
  <c r="V77" i="1" s="1"/>
  <c r="O78" i="1" s="1"/>
  <c r="U78" i="1" s="1"/>
  <c r="H76" i="1" l="1"/>
  <c r="J76" i="1" s="1"/>
  <c r="AD76" i="1"/>
  <c r="AE76" i="1" s="1"/>
  <c r="CB76" i="1"/>
  <c r="BX77" i="1" s="1"/>
  <c r="BZ77" i="1" s="1"/>
  <c r="BV76" i="1"/>
  <c r="BR77" i="1" s="1"/>
  <c r="BU77" i="1" s="1"/>
  <c r="AW76" i="1"/>
  <c r="AV76" i="1"/>
  <c r="AS77" i="1" s="1"/>
  <c r="Y77" i="1"/>
  <c r="AJ70" i="1"/>
  <c r="AK70" i="1" s="1"/>
  <c r="AP70" i="1" s="1"/>
  <c r="CM76" i="1"/>
  <c r="CN76" i="1" s="1"/>
  <c r="CF76" i="1"/>
  <c r="CJ76" i="1"/>
  <c r="AM71" i="1"/>
  <c r="AN71" i="1"/>
  <c r="AL72" i="1" s="1"/>
  <c r="G77" i="1"/>
  <c r="BY77" i="1" l="1"/>
  <c r="CE77" i="1"/>
  <c r="AI71" i="1"/>
  <c r="AG72" i="1" s="1"/>
  <c r="AH71" i="1"/>
  <c r="AA77" i="1"/>
  <c r="N78" i="1" s="1"/>
  <c r="Z78" i="1" s="1"/>
  <c r="E77" i="1"/>
  <c r="F77" i="1" s="1"/>
  <c r="CG76" i="1"/>
  <c r="CD77" i="1"/>
  <c r="CA77" i="1"/>
  <c r="AZ77" i="1"/>
  <c r="BB77" i="1" s="1"/>
  <c r="BC77" i="1" s="1"/>
  <c r="AT77" i="1"/>
  <c r="AU77" i="1"/>
  <c r="BT77" i="1"/>
  <c r="BS77" i="1" s="1"/>
  <c r="T78" i="1"/>
  <c r="V78" i="1" s="1"/>
  <c r="O79" i="1" s="1"/>
  <c r="U79" i="1" s="1"/>
  <c r="BI77" i="1"/>
  <c r="BH77" i="1" s="1"/>
  <c r="BG78" i="1" s="1"/>
  <c r="BJ78" i="1" s="1"/>
  <c r="AO71" i="1"/>
  <c r="CB77" i="1" l="1"/>
  <c r="BX78" i="1" s="1"/>
  <c r="BY78" i="1" s="1"/>
  <c r="BV77" i="1"/>
  <c r="BR78" i="1" s="1"/>
  <c r="BU78" i="1" s="1"/>
  <c r="AD77" i="1"/>
  <c r="AE77" i="1" s="1"/>
  <c r="H77" i="1"/>
  <c r="J77" i="1" s="1"/>
  <c r="CF77" i="1"/>
  <c r="CJ77" i="1"/>
  <c r="CM77" i="1"/>
  <c r="CN77" i="1" s="1"/>
  <c r="Y78" i="1"/>
  <c r="AW77" i="1"/>
  <c r="AV77" i="1"/>
  <c r="AS78" i="1" s="1"/>
  <c r="AJ71" i="1"/>
  <c r="AK71" i="1" s="1"/>
  <c r="AP71" i="1" s="1"/>
  <c r="G78" i="1"/>
  <c r="AM72" i="1"/>
  <c r="AN72" i="1"/>
  <c r="AL73" i="1" s="1"/>
  <c r="BZ78" i="1" l="1"/>
  <c r="CA78" i="1" s="1"/>
  <c r="CE78" i="1"/>
  <c r="AA78" i="1"/>
  <c r="N79" i="1" s="1"/>
  <c r="Z79" i="1" s="1"/>
  <c r="E78" i="1"/>
  <c r="F78" i="1" s="1"/>
  <c r="CM78" i="1" s="1"/>
  <c r="CG77" i="1"/>
  <c r="CD78" i="1"/>
  <c r="AH72" i="1"/>
  <c r="AI72" i="1"/>
  <c r="AG73" i="1" s="1"/>
  <c r="AU78" i="1"/>
  <c r="AZ78" i="1"/>
  <c r="BB78" i="1" s="1"/>
  <c r="BC78" i="1" s="1"/>
  <c r="AT78" i="1"/>
  <c r="AO72" i="1"/>
  <c r="BT78" i="1"/>
  <c r="BS78" i="1" s="1"/>
  <c r="T79" i="1"/>
  <c r="V79" i="1" s="1"/>
  <c r="O80" i="1" s="1"/>
  <c r="U80" i="1" s="1"/>
  <c r="BI78" i="1"/>
  <c r="BH78" i="1" s="1"/>
  <c r="BG79" i="1" s="1"/>
  <c r="BJ79" i="1" s="1"/>
  <c r="CB78" i="1" l="1"/>
  <c r="BX79" i="1" s="1"/>
  <c r="BZ79" i="1" s="1"/>
  <c r="BV78" i="1"/>
  <c r="BR79" i="1" s="1"/>
  <c r="BU79" i="1" s="1"/>
  <c r="H78" i="1"/>
  <c r="J78" i="1" s="1"/>
  <c r="AD78" i="1"/>
  <c r="AE78" i="1" s="1"/>
  <c r="AJ72" i="1"/>
  <c r="AK72" i="1" s="1"/>
  <c r="AP72" i="1" s="1"/>
  <c r="CN78" i="1"/>
  <c r="CF78" i="1"/>
  <c r="CJ78" i="1"/>
  <c r="AW78" i="1"/>
  <c r="AV78" i="1"/>
  <c r="AS79" i="1" s="1"/>
  <c r="Y79" i="1"/>
  <c r="G79" i="1"/>
  <c r="AN73" i="1"/>
  <c r="AL74" i="1" s="1"/>
  <c r="AM73" i="1"/>
  <c r="BY79" i="1" l="1"/>
  <c r="CA79" i="1" s="1"/>
  <c r="CE79" i="1"/>
  <c r="AZ79" i="1"/>
  <c r="BB79" i="1" s="1"/>
  <c r="BC79" i="1" s="1"/>
  <c r="AU79" i="1"/>
  <c r="AT79" i="1"/>
  <c r="AI73" i="1"/>
  <c r="AG74" i="1" s="1"/>
  <c r="AH73" i="1"/>
  <c r="E79" i="1"/>
  <c r="F79" i="1" s="1"/>
  <c r="AA79" i="1"/>
  <c r="N80" i="1" s="1"/>
  <c r="Z80" i="1" s="1"/>
  <c r="CG78" i="1"/>
  <c r="CD79" i="1"/>
  <c r="AO73" i="1"/>
  <c r="BI79" i="1"/>
  <c r="BH79" i="1" s="1"/>
  <c r="BG80" i="1" s="1"/>
  <c r="BJ80" i="1" s="1"/>
  <c r="BT79" i="1"/>
  <c r="BS79" i="1" s="1"/>
  <c r="T80" i="1"/>
  <c r="V80" i="1" s="1"/>
  <c r="O81" i="1" s="1"/>
  <c r="U81" i="1" s="1"/>
  <c r="BV79" i="1" l="1"/>
  <c r="BR80" i="1" s="1"/>
  <c r="BU80" i="1" s="1"/>
  <c r="AD79" i="1"/>
  <c r="AE79" i="1" s="1"/>
  <c r="H79" i="1"/>
  <c r="J79" i="1" s="1"/>
  <c r="Y80" i="1"/>
  <c r="CJ79" i="1"/>
  <c r="CF79" i="1"/>
  <c r="CM79" i="1"/>
  <c r="CN79" i="1" s="1"/>
  <c r="AJ73" i="1"/>
  <c r="AK73" i="1" s="1"/>
  <c r="AP73" i="1" s="1"/>
  <c r="AW79" i="1"/>
  <c r="AV79" i="1"/>
  <c r="AS80" i="1" s="1"/>
  <c r="CB79" i="1"/>
  <c r="BX80" i="1" s="1"/>
  <c r="AM74" i="1"/>
  <c r="AN74" i="1"/>
  <c r="AL75" i="1" s="1"/>
  <c r="G80" i="1"/>
  <c r="AH74" i="1" l="1"/>
  <c r="AI74" i="1"/>
  <c r="AG75" i="1" s="1"/>
  <c r="BZ80" i="1"/>
  <c r="BY80" i="1"/>
  <c r="CE80" i="1"/>
  <c r="CG79" i="1"/>
  <c r="CD80" i="1"/>
  <c r="AZ80" i="1"/>
  <c r="BB80" i="1" s="1"/>
  <c r="BC80" i="1" s="1"/>
  <c r="AU80" i="1"/>
  <c r="AT80" i="1"/>
  <c r="E80" i="1"/>
  <c r="F80" i="1" s="1"/>
  <c r="AA80" i="1"/>
  <c r="N81" i="1" s="1"/>
  <c r="Z81" i="1" s="1"/>
  <c r="AO74" i="1"/>
  <c r="T81" i="1"/>
  <c r="V81" i="1" s="1"/>
  <c r="O82" i="1" s="1"/>
  <c r="U82" i="1" s="1"/>
  <c r="BI80" i="1"/>
  <c r="BH80" i="1" s="1"/>
  <c r="BG81" i="1" s="1"/>
  <c r="BJ81" i="1" s="1"/>
  <c r="BT80" i="1"/>
  <c r="BS80" i="1" s="1"/>
  <c r="BV80" i="1" l="1"/>
  <c r="AD80" i="1"/>
  <c r="AE80" i="1" s="1"/>
  <c r="Y81" i="1"/>
  <c r="CM80" i="1"/>
  <c r="CN80" i="1" s="1"/>
  <c r="CJ80" i="1"/>
  <c r="CF80" i="1"/>
  <c r="H80" i="1"/>
  <c r="J80" i="1" s="1"/>
  <c r="CA80" i="1"/>
  <c r="CB80" i="1" s="1"/>
  <c r="BX81" i="1" s="1"/>
  <c r="AJ74" i="1"/>
  <c r="AK74" i="1" s="1"/>
  <c r="AP74" i="1" s="1"/>
  <c r="AW80" i="1"/>
  <c r="AV80" i="1"/>
  <c r="AS81" i="1" s="1"/>
  <c r="G81" i="1"/>
  <c r="BR81" i="1"/>
  <c r="BU81" i="1" s="1"/>
  <c r="AM75" i="1"/>
  <c r="AN75" i="1"/>
  <c r="AL76" i="1" s="1"/>
  <c r="BZ81" i="1" l="1"/>
  <c r="BY81" i="1"/>
  <c r="CE81" i="1"/>
  <c r="AT81" i="1"/>
  <c r="AZ81" i="1"/>
  <c r="BB81" i="1" s="1"/>
  <c r="BC81" i="1" s="1"/>
  <c r="AU81" i="1"/>
  <c r="CG80" i="1"/>
  <c r="CD81" i="1"/>
  <c r="AI75" i="1"/>
  <c r="AG76" i="1" s="1"/>
  <c r="AH75" i="1"/>
  <c r="E81" i="1"/>
  <c r="F81" i="1" s="1"/>
  <c r="AA81" i="1"/>
  <c r="N82" i="1" s="1"/>
  <c r="Z82" i="1" s="1"/>
  <c r="BI81" i="1"/>
  <c r="BH81" i="1" s="1"/>
  <c r="BG82" i="1" s="1"/>
  <c r="BJ82" i="1" s="1"/>
  <c r="AO75" i="1"/>
  <c r="BT81" i="1"/>
  <c r="BS81" i="1" s="1"/>
  <c r="T82" i="1"/>
  <c r="V82" i="1" s="1"/>
  <c r="O83" i="1" s="1"/>
  <c r="U83" i="1" s="1"/>
  <c r="BV81" i="1" l="1"/>
  <c r="BR82" i="1" s="1"/>
  <c r="BU82" i="1" s="1"/>
  <c r="AD81" i="1"/>
  <c r="AE81" i="1" s="1"/>
  <c r="AV81" i="1"/>
  <c r="AS82" i="1" s="1"/>
  <c r="AW81" i="1"/>
  <c r="Y82" i="1"/>
  <c r="CJ81" i="1"/>
  <c r="CM81" i="1"/>
  <c r="CN81" i="1" s="1"/>
  <c r="CF81" i="1"/>
  <c r="AJ75" i="1"/>
  <c r="AK75" i="1" s="1"/>
  <c r="AP75" i="1" s="1"/>
  <c r="CA81" i="1"/>
  <c r="CB81" i="1" s="1"/>
  <c r="BX82" i="1" s="1"/>
  <c r="H81" i="1"/>
  <c r="J81" i="1" s="1"/>
  <c r="AN76" i="1"/>
  <c r="AL77" i="1" s="1"/>
  <c r="AM76" i="1"/>
  <c r="G82" i="1"/>
  <c r="AI76" i="1" l="1"/>
  <c r="AG77" i="1" s="1"/>
  <c r="AH76" i="1"/>
  <c r="CG81" i="1"/>
  <c r="CD82" i="1"/>
  <c r="CE82" i="1"/>
  <c r="BY82" i="1"/>
  <c r="BZ82" i="1"/>
  <c r="E82" i="1"/>
  <c r="F82" i="1" s="1"/>
  <c r="AA82" i="1"/>
  <c r="N83" i="1" s="1"/>
  <c r="Z83" i="1" s="1"/>
  <c r="AT82" i="1"/>
  <c r="AZ82" i="1"/>
  <c r="BB82" i="1" s="1"/>
  <c r="BC82" i="1" s="1"/>
  <c r="AU82" i="1"/>
  <c r="BT82" i="1"/>
  <c r="BS82" i="1" s="1"/>
  <c r="T83" i="1"/>
  <c r="V83" i="1" s="1"/>
  <c r="O84" i="1" s="1"/>
  <c r="U84" i="1" s="1"/>
  <c r="BI82" i="1"/>
  <c r="BH82" i="1"/>
  <c r="BG83" i="1" s="1"/>
  <c r="BJ83" i="1" s="1"/>
  <c r="AO76" i="1"/>
  <c r="BV82" i="1" l="1"/>
  <c r="BR83" i="1" s="1"/>
  <c r="BU83" i="1" s="1"/>
  <c r="AD82" i="1"/>
  <c r="AE82" i="1" s="1"/>
  <c r="CA82" i="1"/>
  <c r="CB82" i="1" s="1"/>
  <c r="BX83" i="1" s="1"/>
  <c r="BY83" i="1" s="1"/>
  <c r="H82" i="1"/>
  <c r="J82" i="1" s="1"/>
  <c r="AW82" i="1"/>
  <c r="AV82" i="1"/>
  <c r="AS83" i="1" s="1"/>
  <c r="Y83" i="1"/>
  <c r="CM82" i="1"/>
  <c r="CN82" i="1" s="1"/>
  <c r="CJ82" i="1"/>
  <c r="CF82" i="1"/>
  <c r="AJ76" i="1"/>
  <c r="AK76" i="1" s="1"/>
  <c r="AP76" i="1" s="1"/>
  <c r="G83" i="1"/>
  <c r="AN77" i="1"/>
  <c r="AL78" i="1" s="1"/>
  <c r="AM77" i="1"/>
  <c r="CE83" i="1" l="1"/>
  <c r="BZ83" i="1"/>
  <c r="CA83" i="1" s="1"/>
  <c r="CG82" i="1"/>
  <c r="CD83" i="1"/>
  <c r="AA83" i="1"/>
  <c r="N84" i="1" s="1"/>
  <c r="Z84" i="1" s="1"/>
  <c r="E83" i="1"/>
  <c r="F83" i="1" s="1"/>
  <c r="H83" i="1" s="1"/>
  <c r="J83" i="1" s="1"/>
  <c r="AT83" i="1"/>
  <c r="AU83" i="1"/>
  <c r="AZ83" i="1"/>
  <c r="BB83" i="1" s="1"/>
  <c r="BC83" i="1" s="1"/>
  <c r="AI77" i="1"/>
  <c r="AG78" i="1" s="1"/>
  <c r="AH77" i="1"/>
  <c r="AO77" i="1"/>
  <c r="BI83" i="1"/>
  <c r="BH83" i="1" s="1"/>
  <c r="BG84" i="1" s="1"/>
  <c r="BJ84" i="1" s="1"/>
  <c r="BT83" i="1"/>
  <c r="BS83" i="1" s="1"/>
  <c r="T84" i="1"/>
  <c r="V84" i="1" s="1"/>
  <c r="O85" i="1" s="1"/>
  <c r="U85" i="1" s="1"/>
  <c r="CB83" i="1" l="1"/>
  <c r="BX84" i="1" s="1"/>
  <c r="CE84" i="1" s="1"/>
  <c r="BV83" i="1"/>
  <c r="AD83" i="1"/>
  <c r="AE83" i="1" s="1"/>
  <c r="AW83" i="1"/>
  <c r="AV83" i="1"/>
  <c r="AS84" i="1" s="1"/>
  <c r="CM83" i="1"/>
  <c r="CN83" i="1" s="1"/>
  <c r="CF83" i="1"/>
  <c r="CJ83" i="1"/>
  <c r="Y84" i="1"/>
  <c r="AJ77" i="1"/>
  <c r="AK77" i="1" s="1"/>
  <c r="AP77" i="1" s="1"/>
  <c r="G84" i="1"/>
  <c r="AM78" i="1"/>
  <c r="AN78" i="1"/>
  <c r="AL79" i="1" s="1"/>
  <c r="BR84" i="1"/>
  <c r="BU84" i="1" s="1"/>
  <c r="BY84" i="1" l="1"/>
  <c r="BZ84" i="1"/>
  <c r="AA84" i="1"/>
  <c r="N85" i="1" s="1"/>
  <c r="Z85" i="1" s="1"/>
  <c r="E84" i="1"/>
  <c r="F84" i="1" s="1"/>
  <c r="CG83" i="1"/>
  <c r="CD84" i="1"/>
  <c r="AT84" i="1"/>
  <c r="AZ84" i="1"/>
  <c r="BB84" i="1" s="1"/>
  <c r="BC84" i="1" s="1"/>
  <c r="AU84" i="1"/>
  <c r="AI78" i="1"/>
  <c r="AG79" i="1" s="1"/>
  <c r="AH78" i="1"/>
  <c r="T85" i="1"/>
  <c r="V85" i="1" s="1"/>
  <c r="O86" i="1" s="1"/>
  <c r="U86" i="1" s="1"/>
  <c r="BI84" i="1"/>
  <c r="BH84" i="1" s="1"/>
  <c r="BG85" i="1" s="1"/>
  <c r="BJ85" i="1" s="1"/>
  <c r="AO78" i="1"/>
  <c r="BT84" i="1"/>
  <c r="BS84" i="1" s="1"/>
  <c r="CA84" i="1" l="1"/>
  <c r="CB84" i="1" s="1"/>
  <c r="BX85" i="1" s="1"/>
  <c r="H84" i="1"/>
  <c r="J84" i="1" s="1"/>
  <c r="AD84" i="1"/>
  <c r="AE84" i="1" s="1"/>
  <c r="BV84" i="1"/>
  <c r="BR85" i="1" s="1"/>
  <c r="BU85" i="1" s="1"/>
  <c r="CM84" i="1"/>
  <c r="CN84" i="1" s="1"/>
  <c r="CJ84" i="1"/>
  <c r="CF84" i="1"/>
  <c r="AJ78" i="1"/>
  <c r="AK78" i="1" s="1"/>
  <c r="AP78" i="1" s="1"/>
  <c r="Y85" i="1"/>
  <c r="AW84" i="1"/>
  <c r="AV84" i="1"/>
  <c r="AS85" i="1" s="1"/>
  <c r="AM79" i="1"/>
  <c r="AN79" i="1"/>
  <c r="AL80" i="1" s="1"/>
  <c r="G85" i="1"/>
  <c r="AI79" i="1" l="1"/>
  <c r="AG80" i="1" s="1"/>
  <c r="AH79" i="1"/>
  <c r="BZ85" i="1"/>
  <c r="BY85" i="1"/>
  <c r="CE85" i="1"/>
  <c r="AT85" i="1"/>
  <c r="AU85" i="1"/>
  <c r="AZ85" i="1"/>
  <c r="BB85" i="1" s="1"/>
  <c r="BC85" i="1" s="1"/>
  <c r="CG84" i="1"/>
  <c r="CD85" i="1"/>
  <c r="AA85" i="1"/>
  <c r="N86" i="1" s="1"/>
  <c r="Z86" i="1" s="1"/>
  <c r="E85" i="1"/>
  <c r="F85" i="1" s="1"/>
  <c r="T86" i="1"/>
  <c r="V86" i="1" s="1"/>
  <c r="O87" i="1" s="1"/>
  <c r="U87" i="1" s="1"/>
  <c r="BT85" i="1"/>
  <c r="BS85" i="1" s="1"/>
  <c r="BI85" i="1"/>
  <c r="BH85" i="1" s="1"/>
  <c r="BG86" i="1" s="1"/>
  <c r="BJ86" i="1" s="1"/>
  <c r="AO79" i="1"/>
  <c r="BV85" i="1" l="1"/>
  <c r="BR86" i="1" s="1"/>
  <c r="BU86" i="1" s="1"/>
  <c r="AD85" i="1"/>
  <c r="AE85" i="1" s="1"/>
  <c r="AV85" i="1"/>
  <c r="AS86" i="1" s="1"/>
  <c r="AW85" i="1"/>
  <c r="CM85" i="1"/>
  <c r="CN85" i="1" s="1"/>
  <c r="CF85" i="1"/>
  <c r="CJ85" i="1"/>
  <c r="Y86" i="1"/>
  <c r="CA85" i="1"/>
  <c r="CB85" i="1" s="1"/>
  <c r="BX86" i="1" s="1"/>
  <c r="AJ79" i="1"/>
  <c r="AK79" i="1" s="1"/>
  <c r="AP79" i="1" s="1"/>
  <c r="H85" i="1"/>
  <c r="J85" i="1" s="1"/>
  <c r="AN80" i="1"/>
  <c r="AL81" i="1" s="1"/>
  <c r="AM80" i="1"/>
  <c r="G86" i="1"/>
  <c r="AI80" i="1" l="1"/>
  <c r="AG81" i="1" s="1"/>
  <c r="AH80" i="1"/>
  <c r="CE86" i="1"/>
  <c r="BY86" i="1"/>
  <c r="BZ86" i="1"/>
  <c r="AA86" i="1"/>
  <c r="N87" i="1" s="1"/>
  <c r="Z87" i="1" s="1"/>
  <c r="E86" i="1"/>
  <c r="F86" i="1" s="1"/>
  <c r="CG85" i="1"/>
  <c r="CD86" i="1"/>
  <c r="AT86" i="1"/>
  <c r="AZ86" i="1"/>
  <c r="BB86" i="1" s="1"/>
  <c r="BC86" i="1" s="1"/>
  <c r="AU86" i="1"/>
  <c r="T87" i="1"/>
  <c r="V87" i="1" s="1"/>
  <c r="O88" i="1" s="1"/>
  <c r="U88" i="1" s="1"/>
  <c r="BT86" i="1"/>
  <c r="BS86" i="1" s="1"/>
  <c r="BI86" i="1"/>
  <c r="BH86" i="1" s="1"/>
  <c r="BG87" i="1" s="1"/>
  <c r="BJ87" i="1" s="1"/>
  <c r="AO80" i="1"/>
  <c r="BV86" i="1" l="1"/>
  <c r="BR87" i="1" s="1"/>
  <c r="BU87" i="1" s="1"/>
  <c r="AD86" i="1"/>
  <c r="AE86" i="1" s="1"/>
  <c r="CA86" i="1"/>
  <c r="CB86" i="1" s="1"/>
  <c r="BX87" i="1" s="1"/>
  <c r="CF86" i="1"/>
  <c r="CJ86" i="1"/>
  <c r="CM86" i="1"/>
  <c r="CN86" i="1" s="1"/>
  <c r="Y87" i="1"/>
  <c r="AV86" i="1"/>
  <c r="AS87" i="1" s="1"/>
  <c r="AW86" i="1"/>
  <c r="H86" i="1"/>
  <c r="J86" i="1" s="1"/>
  <c r="AJ80" i="1"/>
  <c r="AK80" i="1" s="1"/>
  <c r="AP80" i="1" s="1"/>
  <c r="AN81" i="1"/>
  <c r="AL82" i="1" s="1"/>
  <c r="AM81" i="1"/>
  <c r="G87" i="1"/>
  <c r="AZ87" i="1" l="1"/>
  <c r="BB87" i="1" s="1"/>
  <c r="BC87" i="1" s="1"/>
  <c r="AT87" i="1"/>
  <c r="AU87" i="1"/>
  <c r="BZ87" i="1"/>
  <c r="BY87" i="1"/>
  <c r="CE87" i="1"/>
  <c r="E87" i="1"/>
  <c r="F87" i="1" s="1"/>
  <c r="AA87" i="1"/>
  <c r="N88" i="1" s="1"/>
  <c r="Z88" i="1" s="1"/>
  <c r="CG86" i="1"/>
  <c r="CD87" i="1"/>
  <c r="AI81" i="1"/>
  <c r="AG82" i="1" s="1"/>
  <c r="AH81" i="1"/>
  <c r="BT87" i="1"/>
  <c r="BS87" i="1" s="1"/>
  <c r="T88" i="1"/>
  <c r="V88" i="1" s="1"/>
  <c r="O89" i="1" s="1"/>
  <c r="U89" i="1" s="1"/>
  <c r="BI87" i="1"/>
  <c r="BH87" i="1" s="1"/>
  <c r="BG88" i="1" s="1"/>
  <c r="BJ88" i="1" s="1"/>
  <c r="AO81" i="1"/>
  <c r="BV87" i="1" l="1"/>
  <c r="BR88" i="1" s="1"/>
  <c r="BU88" i="1" s="1"/>
  <c r="AD87" i="1"/>
  <c r="AE87" i="1" s="1"/>
  <c r="Y88" i="1"/>
  <c r="CF87" i="1"/>
  <c r="CM87" i="1"/>
  <c r="CN87" i="1" s="1"/>
  <c r="CJ87" i="1"/>
  <c r="AJ81" i="1"/>
  <c r="AK81" i="1" s="1"/>
  <c r="AP81" i="1" s="1"/>
  <c r="CA87" i="1"/>
  <c r="CB87" i="1" s="1"/>
  <c r="BX88" i="1" s="1"/>
  <c r="H87" i="1"/>
  <c r="J87" i="1" s="1"/>
  <c r="AW87" i="1"/>
  <c r="AV87" i="1"/>
  <c r="AS88" i="1" s="1"/>
  <c r="G88" i="1"/>
  <c r="AN82" i="1"/>
  <c r="AL83" i="1" s="1"/>
  <c r="AM82" i="1"/>
  <c r="AI82" i="1" l="1"/>
  <c r="AG83" i="1" s="1"/>
  <c r="AH82" i="1"/>
  <c r="AT88" i="1"/>
  <c r="AZ88" i="1"/>
  <c r="BB88" i="1" s="1"/>
  <c r="BC88" i="1" s="1"/>
  <c r="AU88" i="1"/>
  <c r="CG87" i="1"/>
  <c r="CD88" i="1"/>
  <c r="AA88" i="1"/>
  <c r="N89" i="1" s="1"/>
  <c r="Z89" i="1" s="1"/>
  <c r="E88" i="1"/>
  <c r="F88" i="1" s="1"/>
  <c r="BZ88" i="1"/>
  <c r="BY88" i="1"/>
  <c r="CE88" i="1"/>
  <c r="AO82" i="1"/>
  <c r="BT88" i="1"/>
  <c r="BS88" i="1" s="1"/>
  <c r="T89" i="1"/>
  <c r="V89" i="1" s="1"/>
  <c r="O90" i="1" s="1"/>
  <c r="U90" i="1" s="1"/>
  <c r="BI88" i="1"/>
  <c r="BH88" i="1" s="1"/>
  <c r="BG89" i="1" s="1"/>
  <c r="BJ89" i="1" s="1"/>
  <c r="H88" i="1" l="1"/>
  <c r="J88" i="1" s="1"/>
  <c r="AD88" i="1"/>
  <c r="AE88" i="1" s="1"/>
  <c r="BV88" i="1"/>
  <c r="BR89" i="1" s="1"/>
  <c r="BU89" i="1" s="1"/>
  <c r="AW88" i="1"/>
  <c r="AV88" i="1"/>
  <c r="AS89" i="1" s="1"/>
  <c r="CA88" i="1"/>
  <c r="CB88" i="1" s="1"/>
  <c r="BX89" i="1" s="1"/>
  <c r="CJ88" i="1"/>
  <c r="CM88" i="1"/>
  <c r="CN88" i="1" s="1"/>
  <c r="CF88" i="1"/>
  <c r="Y89" i="1"/>
  <c r="AJ82" i="1"/>
  <c r="AK82" i="1" s="1"/>
  <c r="AP82" i="1" s="1"/>
  <c r="G89" i="1"/>
  <c r="AN83" i="1"/>
  <c r="AL84" i="1" s="1"/>
  <c r="AM83" i="1"/>
  <c r="AH83" i="1" l="1"/>
  <c r="AI83" i="1"/>
  <c r="AG84" i="1" s="1"/>
  <c r="E89" i="1"/>
  <c r="F89" i="1" s="1"/>
  <c r="AD89" i="1" s="1"/>
  <c r="AA89" i="1"/>
  <c r="N90" i="1" s="1"/>
  <c r="Z90" i="1" s="1"/>
  <c r="CG88" i="1"/>
  <c r="CD89" i="1"/>
  <c r="BZ89" i="1"/>
  <c r="CE89" i="1"/>
  <c r="BY89" i="1"/>
  <c r="AU89" i="1"/>
  <c r="AT89" i="1"/>
  <c r="AZ89" i="1"/>
  <c r="BB89" i="1" s="1"/>
  <c r="BC89" i="1" s="1"/>
  <c r="T90" i="1"/>
  <c r="V90" i="1" s="1"/>
  <c r="O91" i="1" s="1"/>
  <c r="U91" i="1" s="1"/>
  <c r="AO83" i="1"/>
  <c r="BI89" i="1"/>
  <c r="BH89" i="1" s="1"/>
  <c r="BG90" i="1" s="1"/>
  <c r="BJ90" i="1" s="1"/>
  <c r="BT89" i="1"/>
  <c r="BS89" i="1" s="1"/>
  <c r="BV89" i="1" l="1"/>
  <c r="H89" i="1"/>
  <c r="J89" i="1" s="1"/>
  <c r="CA89" i="1"/>
  <c r="CB89" i="1" s="1"/>
  <c r="BX90" i="1" s="1"/>
  <c r="BZ90" i="1" s="1"/>
  <c r="Y90" i="1"/>
  <c r="AV89" i="1"/>
  <c r="AS90" i="1" s="1"/>
  <c r="AW89" i="1"/>
  <c r="AE89" i="1"/>
  <c r="CF89" i="1"/>
  <c r="CJ89" i="1"/>
  <c r="CM89" i="1"/>
  <c r="CN89" i="1" s="1"/>
  <c r="AJ83" i="1"/>
  <c r="AK83" i="1" s="1"/>
  <c r="AP83" i="1" s="1"/>
  <c r="AM84" i="1"/>
  <c r="AN84" i="1"/>
  <c r="AL85" i="1" s="1"/>
  <c r="BR90" i="1"/>
  <c r="BU90" i="1" s="1"/>
  <c r="G90" i="1"/>
  <c r="CE90" i="1" l="1"/>
  <c r="BY90" i="1"/>
  <c r="CA90" i="1" s="1"/>
  <c r="CG89" i="1"/>
  <c r="CD90" i="1"/>
  <c r="AU90" i="1"/>
  <c r="AT90" i="1"/>
  <c r="AZ90" i="1"/>
  <c r="BB90" i="1" s="1"/>
  <c r="BC90" i="1" s="1"/>
  <c r="AA90" i="1"/>
  <c r="N91" i="1" s="1"/>
  <c r="Z91" i="1" s="1"/>
  <c r="E90" i="1"/>
  <c r="F90" i="1" s="1"/>
  <c r="AD90" i="1" s="1"/>
  <c r="AH84" i="1"/>
  <c r="AI84" i="1"/>
  <c r="AG85" i="1" s="1"/>
  <c r="BT90" i="1"/>
  <c r="BS90" i="1" s="1"/>
  <c r="BI90" i="1"/>
  <c r="BH90" i="1" s="1"/>
  <c r="BG91" i="1" s="1"/>
  <c r="BJ91" i="1" s="1"/>
  <c r="AO84" i="1"/>
  <c r="T91" i="1"/>
  <c r="V91" i="1" s="1"/>
  <c r="O92" i="1" s="1"/>
  <c r="U92" i="1" s="1"/>
  <c r="AE90" i="1" l="1"/>
  <c r="CJ90" i="1"/>
  <c r="CM90" i="1"/>
  <c r="CN90" i="1" s="1"/>
  <c r="CF90" i="1"/>
  <c r="Y91" i="1"/>
  <c r="BV90" i="1"/>
  <c r="BR91" i="1" s="1"/>
  <c r="BU91" i="1" s="1"/>
  <c r="AV90" i="1"/>
  <c r="AS91" i="1" s="1"/>
  <c r="AW90" i="1"/>
  <c r="CB90" i="1"/>
  <c r="BX91" i="1" s="1"/>
  <c r="H90" i="1"/>
  <c r="J90" i="1" s="1"/>
  <c r="AJ84" i="1"/>
  <c r="AK84" i="1" s="1"/>
  <c r="AP84" i="1" s="1"/>
  <c r="AN85" i="1"/>
  <c r="AL86" i="1" s="1"/>
  <c r="AM85" i="1"/>
  <c r="G91" i="1"/>
  <c r="BZ91" i="1" l="1"/>
  <c r="CE91" i="1"/>
  <c r="BY91" i="1"/>
  <c r="AU91" i="1"/>
  <c r="AT91" i="1"/>
  <c r="AZ91" i="1"/>
  <c r="BB91" i="1" s="1"/>
  <c r="BC91" i="1" s="1"/>
  <c r="E91" i="1"/>
  <c r="F91" i="1" s="1"/>
  <c r="AA91" i="1"/>
  <c r="N92" i="1" s="1"/>
  <c r="Z92" i="1" s="1"/>
  <c r="CG90" i="1"/>
  <c r="CD91" i="1"/>
  <c r="AH85" i="1"/>
  <c r="AI85" i="1"/>
  <c r="AG86" i="1" s="1"/>
  <c r="T92" i="1"/>
  <c r="V92" i="1" s="1"/>
  <c r="O93" i="1" s="1"/>
  <c r="U93" i="1" s="1"/>
  <c r="BT91" i="1"/>
  <c r="BS91" i="1" s="1"/>
  <c r="BI91" i="1"/>
  <c r="BH91" i="1" s="1"/>
  <c r="BG92" i="1" s="1"/>
  <c r="BJ92" i="1" s="1"/>
  <c r="AO85" i="1"/>
  <c r="BV91" i="1" l="1"/>
  <c r="BR92" i="1" s="1"/>
  <c r="BU92" i="1" s="1"/>
  <c r="AD91" i="1"/>
  <c r="AE91" i="1" s="1"/>
  <c r="Y92" i="1"/>
  <c r="CF91" i="1"/>
  <c r="CJ91" i="1"/>
  <c r="CM91" i="1"/>
  <c r="CN91" i="1" s="1"/>
  <c r="AJ85" i="1"/>
  <c r="AK85" i="1" s="1"/>
  <c r="AP85" i="1" s="1"/>
  <c r="AV91" i="1"/>
  <c r="AS92" i="1" s="1"/>
  <c r="AW91" i="1"/>
  <c r="H91" i="1"/>
  <c r="J91" i="1" s="1"/>
  <c r="CA91" i="1"/>
  <c r="CB91" i="1" s="1"/>
  <c r="BX92" i="1" s="1"/>
  <c r="AN86" i="1"/>
  <c r="AL87" i="1" s="1"/>
  <c r="AM86" i="1"/>
  <c r="G92" i="1"/>
  <c r="AH86" i="1" l="1"/>
  <c r="AI86" i="1"/>
  <c r="AG87" i="1" s="1"/>
  <c r="CG91" i="1"/>
  <c r="CD92" i="1"/>
  <c r="BY92" i="1"/>
  <c r="CE92" i="1"/>
  <c r="BZ92" i="1"/>
  <c r="E92" i="1"/>
  <c r="F92" i="1" s="1"/>
  <c r="AA92" i="1"/>
  <c r="N93" i="1" s="1"/>
  <c r="Z93" i="1" s="1"/>
  <c r="AU92" i="1"/>
  <c r="AZ92" i="1"/>
  <c r="BB92" i="1" s="1"/>
  <c r="BC92" i="1" s="1"/>
  <c r="AT92" i="1"/>
  <c r="BT92" i="1"/>
  <c r="BS92" i="1" s="1"/>
  <c r="T93" i="1"/>
  <c r="V93" i="1" s="1"/>
  <c r="O94" i="1" s="1"/>
  <c r="U94" i="1" s="1"/>
  <c r="BI92" i="1"/>
  <c r="BH92" i="1" s="1"/>
  <c r="BG93" i="1" s="1"/>
  <c r="BJ93" i="1" s="1"/>
  <c r="AO86" i="1"/>
  <c r="CA92" i="1" l="1"/>
  <c r="CB92" i="1" s="1"/>
  <c r="BX93" i="1" s="1"/>
  <c r="CE93" i="1" s="1"/>
  <c r="BV92" i="1"/>
  <c r="BR93" i="1" s="1"/>
  <c r="BU93" i="1" s="1"/>
  <c r="AD92" i="1"/>
  <c r="AE92" i="1" s="1"/>
  <c r="AW92" i="1"/>
  <c r="AV92" i="1"/>
  <c r="AS93" i="1" s="1"/>
  <c r="AJ86" i="1"/>
  <c r="AK86" i="1" s="1"/>
  <c r="AP86" i="1" s="1"/>
  <c r="Y93" i="1"/>
  <c r="CF92" i="1"/>
  <c r="CJ92" i="1"/>
  <c r="CM92" i="1"/>
  <c r="CN92" i="1" s="1"/>
  <c r="H92" i="1"/>
  <c r="J92" i="1" s="1"/>
  <c r="G93" i="1"/>
  <c r="AM87" i="1"/>
  <c r="AN87" i="1"/>
  <c r="AL88" i="1" s="1"/>
  <c r="BZ93" i="1" l="1"/>
  <c r="BY93" i="1"/>
  <c r="AH87" i="1"/>
  <c r="AI87" i="1"/>
  <c r="AG88" i="1" s="1"/>
  <c r="AU93" i="1"/>
  <c r="AZ93" i="1"/>
  <c r="BB93" i="1" s="1"/>
  <c r="BC93" i="1" s="1"/>
  <c r="AT93" i="1"/>
  <c r="CG92" i="1"/>
  <c r="CD93" i="1"/>
  <c r="E93" i="1"/>
  <c r="F93" i="1" s="1"/>
  <c r="AA93" i="1"/>
  <c r="N94" i="1" s="1"/>
  <c r="Z94" i="1" s="1"/>
  <c r="AO87" i="1"/>
  <c r="BT93" i="1"/>
  <c r="BS93" i="1" s="1"/>
  <c r="T94" i="1"/>
  <c r="V94" i="1" s="1"/>
  <c r="O95" i="1" s="1"/>
  <c r="U95" i="1" s="1"/>
  <c r="BI93" i="1"/>
  <c r="BH93" i="1" s="1"/>
  <c r="BG94" i="1" s="1"/>
  <c r="BJ94" i="1" s="1"/>
  <c r="CA93" i="1" l="1"/>
  <c r="CB93" i="1" s="1"/>
  <c r="BX94" i="1" s="1"/>
  <c r="BZ94" i="1" s="1"/>
  <c r="AD93" i="1"/>
  <c r="AE93" i="1" s="1"/>
  <c r="H93" i="1"/>
  <c r="J93" i="1" s="1"/>
  <c r="BV93" i="1"/>
  <c r="BR94" i="1" s="1"/>
  <c r="BU94" i="1" s="1"/>
  <c r="AW93" i="1"/>
  <c r="AV93" i="1"/>
  <c r="AS94" i="1" s="1"/>
  <c r="Y94" i="1"/>
  <c r="AJ87" i="1"/>
  <c r="AK87" i="1" s="1"/>
  <c r="AP87" i="1" s="1"/>
  <c r="CF93" i="1"/>
  <c r="CJ93" i="1"/>
  <c r="CM93" i="1"/>
  <c r="CN93" i="1" s="1"/>
  <c r="AM88" i="1"/>
  <c r="AN88" i="1"/>
  <c r="AL89" i="1" s="1"/>
  <c r="G94" i="1"/>
  <c r="CE94" i="1" l="1"/>
  <c r="BY94" i="1"/>
  <c r="CA94" i="1" s="1"/>
  <c r="E94" i="1"/>
  <c r="F94" i="1" s="1"/>
  <c r="AD94" i="1" s="1"/>
  <c r="AA94" i="1"/>
  <c r="N95" i="1" s="1"/>
  <c r="Z95" i="1" s="1"/>
  <c r="AU94" i="1"/>
  <c r="AZ94" i="1"/>
  <c r="BB94" i="1" s="1"/>
  <c r="BC94" i="1" s="1"/>
  <c r="AT94" i="1"/>
  <c r="AI88" i="1"/>
  <c r="AG89" i="1" s="1"/>
  <c r="AH88" i="1"/>
  <c r="CG93" i="1"/>
  <c r="CD94" i="1"/>
  <c r="H94" i="1"/>
  <c r="J94" i="1" s="1"/>
  <c r="BI94" i="1"/>
  <c r="BH94" i="1" s="1"/>
  <c r="BG95" i="1" s="1"/>
  <c r="BJ95" i="1" s="1"/>
  <c r="T95" i="1"/>
  <c r="V95" i="1" s="1"/>
  <c r="O96" i="1" s="1"/>
  <c r="U96" i="1" s="1"/>
  <c r="BT94" i="1"/>
  <c r="BS94" i="1" s="1"/>
  <c r="BV94" i="1"/>
  <c r="AO88" i="1"/>
  <c r="CB94" i="1" l="1"/>
  <c r="BX95" i="1" s="1"/>
  <c r="BY95" i="1" s="1"/>
  <c r="BR95" i="1"/>
  <c r="BU95" i="1" s="1"/>
  <c r="AJ88" i="1"/>
  <c r="AK88" i="1" s="1"/>
  <c r="AV94" i="1"/>
  <c r="AS95" i="1" s="1"/>
  <c r="AW94" i="1"/>
  <c r="Y95" i="1"/>
  <c r="AP88" i="1"/>
  <c r="AE94" i="1"/>
  <c r="CM94" i="1"/>
  <c r="CN94" i="1" s="1"/>
  <c r="CJ94" i="1"/>
  <c r="CF94" i="1"/>
  <c r="AM89" i="1"/>
  <c r="AN89" i="1"/>
  <c r="AL90" i="1" s="1"/>
  <c r="G95" i="1"/>
  <c r="CE95" i="1" l="1"/>
  <c r="BZ95" i="1"/>
  <c r="CA95" i="1" s="1"/>
  <c r="AU95" i="1"/>
  <c r="AZ95" i="1"/>
  <c r="BB95" i="1" s="1"/>
  <c r="BC95" i="1" s="1"/>
  <c r="AT95" i="1"/>
  <c r="CG94" i="1"/>
  <c r="CD95" i="1"/>
  <c r="AA95" i="1"/>
  <c r="N96" i="1" s="1"/>
  <c r="Z96" i="1" s="1"/>
  <c r="E95" i="1"/>
  <c r="F95" i="1" s="1"/>
  <c r="AD95" i="1" s="1"/>
  <c r="AH89" i="1"/>
  <c r="AI89" i="1"/>
  <c r="AG90" i="1" s="1"/>
  <c r="BT95" i="1"/>
  <c r="BS95" i="1" s="1"/>
  <c r="T96" i="1"/>
  <c r="V96" i="1" s="1"/>
  <c r="O97" i="1" s="1"/>
  <c r="U97" i="1" s="1"/>
  <c r="BI95" i="1"/>
  <c r="BH95" i="1" s="1"/>
  <c r="BG96" i="1" s="1"/>
  <c r="BJ96" i="1" s="1"/>
  <c r="AO89" i="1"/>
  <c r="AE95" i="1" l="1"/>
  <c r="CF95" i="1"/>
  <c r="CM95" i="1"/>
  <c r="CN95" i="1" s="1"/>
  <c r="CJ95" i="1"/>
  <c r="Y96" i="1"/>
  <c r="BV95" i="1"/>
  <c r="BR96" i="1" s="1"/>
  <c r="BU96" i="1" s="1"/>
  <c r="H95" i="1"/>
  <c r="J95" i="1" s="1"/>
  <c r="AW95" i="1"/>
  <c r="AV95" i="1"/>
  <c r="AS96" i="1" s="1"/>
  <c r="AJ89" i="1"/>
  <c r="AK89" i="1" s="1"/>
  <c r="AP89" i="1" s="1"/>
  <c r="CB95" i="1"/>
  <c r="BX96" i="1" s="1"/>
  <c r="AM90" i="1"/>
  <c r="AN90" i="1"/>
  <c r="AL91" i="1" s="1"/>
  <c r="G96" i="1"/>
  <c r="AH90" i="1" l="1"/>
  <c r="AI90" i="1"/>
  <c r="AG91" i="1" s="1"/>
  <c r="AU96" i="1"/>
  <c r="AZ96" i="1"/>
  <c r="BB96" i="1" s="1"/>
  <c r="BC96" i="1" s="1"/>
  <c r="AT96" i="1"/>
  <c r="AA96" i="1"/>
  <c r="N97" i="1" s="1"/>
  <c r="Z97" i="1" s="1"/>
  <c r="E96" i="1"/>
  <c r="F96" i="1" s="1"/>
  <c r="BZ96" i="1"/>
  <c r="BY96" i="1"/>
  <c r="CE96" i="1"/>
  <c r="CG95" i="1"/>
  <c r="CD96" i="1"/>
  <c r="BT96" i="1"/>
  <c r="BS96" i="1"/>
  <c r="BI96" i="1"/>
  <c r="BH96" i="1" s="1"/>
  <c r="BG97" i="1" s="1"/>
  <c r="BJ97" i="1" s="1"/>
  <c r="AO90" i="1"/>
  <c r="T97" i="1"/>
  <c r="V97" i="1" s="1"/>
  <c r="O98" i="1" s="1"/>
  <c r="U98" i="1" s="1"/>
  <c r="BV96" i="1" l="1"/>
  <c r="BR97" i="1" s="1"/>
  <c r="BU97" i="1" s="1"/>
  <c r="AD96" i="1"/>
  <c r="AE96" i="1" s="1"/>
  <c r="CA96" i="1"/>
  <c r="CB96" i="1" s="1"/>
  <c r="BX97" i="1" s="1"/>
  <c r="CM96" i="1"/>
  <c r="CN96" i="1" s="1"/>
  <c r="CF96" i="1"/>
  <c r="CJ96" i="1"/>
  <c r="Y97" i="1"/>
  <c r="H96" i="1"/>
  <c r="J96" i="1" s="1"/>
  <c r="AW96" i="1"/>
  <c r="AV96" i="1"/>
  <c r="AS97" i="1" s="1"/>
  <c r="AJ90" i="1"/>
  <c r="AK90" i="1" s="1"/>
  <c r="AP90" i="1" s="1"/>
  <c r="G97" i="1"/>
  <c r="AN91" i="1"/>
  <c r="AL92" i="1" s="1"/>
  <c r="AM91" i="1"/>
  <c r="E97" i="1" l="1"/>
  <c r="F97" i="1" s="1"/>
  <c r="BV97" i="1" s="1"/>
  <c r="AA97" i="1"/>
  <c r="N98" i="1" s="1"/>
  <c r="Z98" i="1" s="1"/>
  <c r="AH91" i="1"/>
  <c r="AI91" i="1"/>
  <c r="AG92" i="1" s="1"/>
  <c r="CG96" i="1"/>
  <c r="CD97" i="1"/>
  <c r="AU97" i="1"/>
  <c r="AW97" i="1" s="1"/>
  <c r="AT97" i="1"/>
  <c r="AZ97" i="1"/>
  <c r="BB97" i="1" s="1"/>
  <c r="BC97" i="1" s="1"/>
  <c r="BY97" i="1"/>
  <c r="CE97" i="1"/>
  <c r="BZ97" i="1"/>
  <c r="AO91" i="1"/>
  <c r="BI97" i="1"/>
  <c r="BH97" i="1" s="1"/>
  <c r="BG98" i="1" s="1"/>
  <c r="BJ98" i="1" s="1"/>
  <c r="BT97" i="1"/>
  <c r="BS97" i="1" s="1"/>
  <c r="BR98" i="1" l="1"/>
  <c r="BU98" i="1" s="1"/>
  <c r="H97" i="1"/>
  <c r="J97" i="1" s="1"/>
  <c r="AD97" i="1"/>
  <c r="AE97" i="1" s="1"/>
  <c r="CA97" i="1"/>
  <c r="CB97" i="1" s="1"/>
  <c r="BX98" i="1" s="1"/>
  <c r="CE98" i="1" s="1"/>
  <c r="AJ91" i="1"/>
  <c r="AK91" i="1" s="1"/>
  <c r="AP91" i="1" s="1"/>
  <c r="Y98" i="1"/>
  <c r="AV97" i="1"/>
  <c r="AS98" i="1" s="1"/>
  <c r="CM97" i="1"/>
  <c r="CN97" i="1" s="1"/>
  <c r="CF97" i="1"/>
  <c r="CJ97" i="1"/>
  <c r="T98" i="1"/>
  <c r="V98" i="1" s="1"/>
  <c r="O99" i="1" s="1"/>
  <c r="U99" i="1" s="1"/>
  <c r="AM92" i="1"/>
  <c r="AN92" i="1"/>
  <c r="AL93" i="1" s="1"/>
  <c r="BZ98" i="1" l="1"/>
  <c r="BY98" i="1"/>
  <c r="AA98" i="1"/>
  <c r="N99" i="1" s="1"/>
  <c r="Z99" i="1" s="1"/>
  <c r="E98" i="1"/>
  <c r="F98" i="1" s="1"/>
  <c r="AD98" i="1" s="1"/>
  <c r="CG97" i="1"/>
  <c r="CD98" i="1"/>
  <c r="AH92" i="1"/>
  <c r="AI92" i="1"/>
  <c r="AG93" i="1" s="1"/>
  <c r="AZ98" i="1"/>
  <c r="BB98" i="1" s="1"/>
  <c r="BC98" i="1" s="1"/>
  <c r="AT98" i="1"/>
  <c r="AU98" i="1"/>
  <c r="AO92" i="1"/>
  <c r="G98" i="1"/>
  <c r="CA98" i="1" l="1"/>
  <c r="CB98" i="1" s="1"/>
  <c r="BX99" i="1" s="1"/>
  <c r="BY99" i="1" s="1"/>
  <c r="H98" i="1"/>
  <c r="J98" i="1" s="1"/>
  <c r="AJ92" i="1"/>
  <c r="AK92" i="1" s="1"/>
  <c r="AP92" i="1" s="1"/>
  <c r="AV98" i="1"/>
  <c r="AS99" i="1" s="1"/>
  <c r="AW98" i="1"/>
  <c r="AE98" i="1"/>
  <c r="CM98" i="1"/>
  <c r="CN98" i="1" s="1"/>
  <c r="CJ98" i="1"/>
  <c r="CF98" i="1"/>
  <c r="Y99" i="1"/>
  <c r="AM93" i="1"/>
  <c r="AN93" i="1"/>
  <c r="AL94" i="1" s="1"/>
  <c r="BT98" i="1"/>
  <c r="BS98" i="1" s="1"/>
  <c r="BV98" i="1"/>
  <c r="BI98" i="1"/>
  <c r="BH98" i="1" s="1"/>
  <c r="CE99" i="1" l="1"/>
  <c r="BZ99" i="1"/>
  <c r="CA99" i="1" s="1"/>
  <c r="BR99" i="1"/>
  <c r="BU99" i="1" s="1"/>
  <c r="AT99" i="1"/>
  <c r="AU99" i="1"/>
  <c r="AZ99" i="1"/>
  <c r="BB99" i="1" s="1"/>
  <c r="BC99" i="1" s="1"/>
  <c r="AI93" i="1"/>
  <c r="AG94" i="1" s="1"/>
  <c r="AH93" i="1"/>
  <c r="CG98" i="1"/>
  <c r="CD99" i="1"/>
  <c r="E99" i="1"/>
  <c r="F99" i="1" s="1"/>
  <c r="AD99" i="1" s="1"/>
  <c r="AA99" i="1"/>
  <c r="N100" i="1" s="1"/>
  <c r="Z100" i="1" s="1"/>
  <c r="BG99" i="1"/>
  <c r="BJ99" i="1" s="1"/>
  <c r="T99" i="1"/>
  <c r="V99" i="1" s="1"/>
  <c r="O100" i="1" s="1"/>
  <c r="U100" i="1" s="1"/>
  <c r="AO93" i="1"/>
  <c r="Y100" i="1" l="1"/>
  <c r="AE99" i="1"/>
  <c r="CF99" i="1"/>
  <c r="CB99" i="1"/>
  <c r="BX100" i="1" s="1"/>
  <c r="CM99" i="1"/>
  <c r="CN99" i="1" s="1"/>
  <c r="CJ99" i="1"/>
  <c r="AJ93" i="1"/>
  <c r="AK93" i="1" s="1"/>
  <c r="AP93" i="1" s="1"/>
  <c r="AV99" i="1"/>
  <c r="AS100" i="1" s="1"/>
  <c r="AW99" i="1"/>
  <c r="AM94" i="1"/>
  <c r="AN94" i="1"/>
  <c r="AL95" i="1" s="1"/>
  <c r="G99" i="1"/>
  <c r="H99" i="1" s="1"/>
  <c r="J99" i="1" s="1"/>
  <c r="BZ100" i="1" l="1"/>
  <c r="CE100" i="1"/>
  <c r="BY100" i="1"/>
  <c r="CG99" i="1"/>
  <c r="CD100" i="1"/>
  <c r="AH94" i="1"/>
  <c r="AI94" i="1"/>
  <c r="AG95" i="1" s="1"/>
  <c r="E100" i="1"/>
  <c r="F100" i="1" s="1"/>
  <c r="AD100" i="1" s="1"/>
  <c r="AA100" i="1"/>
  <c r="N101" i="1" s="1"/>
  <c r="Z101" i="1" s="1"/>
  <c r="AU100" i="1"/>
  <c r="AZ100" i="1"/>
  <c r="BB100" i="1" s="1"/>
  <c r="BC100" i="1" s="1"/>
  <c r="AT100" i="1"/>
  <c r="BT99" i="1"/>
  <c r="BS99" i="1" s="1"/>
  <c r="BV99" i="1"/>
  <c r="BI99" i="1"/>
  <c r="BH99" i="1" s="1"/>
  <c r="AO94" i="1"/>
  <c r="BR100" i="1" l="1"/>
  <c r="BU100" i="1" s="1"/>
  <c r="AV100" i="1"/>
  <c r="AS101" i="1" s="1"/>
  <c r="AW100" i="1"/>
  <c r="AE100" i="1"/>
  <c r="CJ100" i="1"/>
  <c r="CF100" i="1"/>
  <c r="CM100" i="1"/>
  <c r="CN100" i="1" s="1"/>
  <c r="AJ94" i="1"/>
  <c r="AK94" i="1" s="1"/>
  <c r="AP94" i="1" s="1"/>
  <c r="Y101" i="1"/>
  <c r="CA100" i="1"/>
  <c r="CB100" i="1" s="1"/>
  <c r="BX101" i="1" s="1"/>
  <c r="BG100" i="1"/>
  <c r="BJ100" i="1" s="1"/>
  <c r="AM95" i="1"/>
  <c r="AN95" i="1"/>
  <c r="AL96" i="1" s="1"/>
  <c r="T100" i="1"/>
  <c r="V100" i="1" s="1"/>
  <c r="O101" i="1" s="1"/>
  <c r="U101" i="1" s="1"/>
  <c r="AH95" i="1" l="1"/>
  <c r="AI95" i="1"/>
  <c r="AG96" i="1" s="1"/>
  <c r="CG100" i="1"/>
  <c r="CD101" i="1"/>
  <c r="BY101" i="1"/>
  <c r="BZ101" i="1"/>
  <c r="CE101" i="1"/>
  <c r="E101" i="1"/>
  <c r="F101" i="1" s="1"/>
  <c r="AD101" i="1" s="1"/>
  <c r="AA101" i="1"/>
  <c r="AT101" i="1"/>
  <c r="AZ101" i="1"/>
  <c r="BB101" i="1" s="1"/>
  <c r="BC101" i="1" s="1"/>
  <c r="AU101" i="1"/>
  <c r="AO95" i="1"/>
  <c r="G100" i="1"/>
  <c r="H100" i="1" s="1"/>
  <c r="J100" i="1" s="1"/>
  <c r="CA101" i="1" l="1"/>
  <c r="CB101" i="1" s="1"/>
  <c r="BX102" i="1" s="1"/>
  <c r="CE102" i="1" s="1"/>
  <c r="AJ95" i="1"/>
  <c r="AK95" i="1" s="1"/>
  <c r="AP95" i="1" s="1"/>
  <c r="AE101" i="1"/>
  <c r="CJ101" i="1"/>
  <c r="CF101" i="1"/>
  <c r="CM101" i="1"/>
  <c r="CN101" i="1" s="1"/>
  <c r="AV101" i="1"/>
  <c r="AW101" i="1"/>
  <c r="BI100" i="1"/>
  <c r="BH100" i="1" s="1"/>
  <c r="BT100" i="1"/>
  <c r="BS100" i="1" s="1"/>
  <c r="BV100" i="1"/>
  <c r="AN96" i="1"/>
  <c r="AL97" i="1" s="1"/>
  <c r="AM96" i="1"/>
  <c r="BY102" i="1" l="1"/>
  <c r="BZ102" i="1"/>
  <c r="BR101" i="1"/>
  <c r="BU101" i="1" s="1"/>
  <c r="CG101" i="1"/>
  <c r="CD102" i="1"/>
  <c r="AI96" i="1"/>
  <c r="AG97" i="1" s="1"/>
  <c r="AH96" i="1"/>
  <c r="BG101" i="1"/>
  <c r="BJ101" i="1" s="1"/>
  <c r="AO96" i="1"/>
  <c r="T101" i="1"/>
  <c r="V101" i="1" s="1"/>
  <c r="O102" i="1" s="1"/>
  <c r="U102" i="1" s="1"/>
  <c r="CA102" i="1" l="1"/>
  <c r="AJ96" i="1"/>
  <c r="AK96" i="1" s="1"/>
  <c r="AP96" i="1" s="1"/>
  <c r="AN97" i="1"/>
  <c r="AL98" i="1" s="1"/>
  <c r="AM97" i="1"/>
  <c r="G101" i="1"/>
  <c r="H101" i="1" s="1"/>
  <c r="J101" i="1" s="1"/>
  <c r="AI97" i="1" l="1"/>
  <c r="AG98" i="1" s="1"/>
  <c r="AH97" i="1"/>
  <c r="BI101" i="1"/>
  <c r="BH101" i="1" s="1"/>
  <c r="BT101" i="1"/>
  <c r="BS101" i="1" s="1"/>
  <c r="BV101" i="1"/>
  <c r="AO97" i="1"/>
  <c r="BR102" i="1" l="1"/>
  <c r="BU102" i="1" s="1"/>
  <c r="N102" i="1"/>
  <c r="Z102" i="1" s="1"/>
  <c r="AJ97" i="1"/>
  <c r="AK97" i="1" s="1"/>
  <c r="AP97" i="1" s="1"/>
  <c r="AM98" i="1"/>
  <c r="AN98" i="1"/>
  <c r="AL99" i="1" s="1"/>
  <c r="T102" i="1"/>
  <c r="V102" i="1" s="1"/>
  <c r="O103" i="1" s="1"/>
  <c r="U103" i="1" s="1"/>
  <c r="BL103" i="1"/>
  <c r="BG102" i="1"/>
  <c r="BJ102" i="1" s="1"/>
  <c r="AH98" i="1" l="1"/>
  <c r="AI98" i="1"/>
  <c r="AG99" i="1" s="1"/>
  <c r="G102" i="1"/>
  <c r="AS102" i="1"/>
  <c r="AY103" i="1"/>
  <c r="BA103" i="1" s="1"/>
  <c r="AO98" i="1"/>
  <c r="BM103" i="1"/>
  <c r="BN103" i="1"/>
  <c r="AJ98" i="1" l="1"/>
  <c r="AK98" i="1" s="1"/>
  <c r="AP98" i="1" s="1"/>
  <c r="BL104" i="1"/>
  <c r="AY104" i="1"/>
  <c r="BA104" i="1" s="1"/>
  <c r="BI102" i="1"/>
  <c r="BH102" i="1" s="1"/>
  <c r="Y102" i="1"/>
  <c r="AU102" i="1"/>
  <c r="AT102" i="1"/>
  <c r="AZ102" i="1"/>
  <c r="BB102" i="1" s="1"/>
  <c r="BC102" i="1" s="1"/>
  <c r="BT102" i="1"/>
  <c r="BS102" i="1" s="1"/>
  <c r="T103" i="1"/>
  <c r="V103" i="1" s="1"/>
  <c r="O104" i="1" s="1"/>
  <c r="U104" i="1" s="1"/>
  <c r="AN99" i="1"/>
  <c r="AL100" i="1" s="1"/>
  <c r="AM99" i="1"/>
  <c r="BO103" i="1"/>
  <c r="BM104" i="1" l="1"/>
  <c r="BN104" i="1"/>
  <c r="AI99" i="1"/>
  <c r="AG100" i="1" s="1"/>
  <c r="AH99" i="1"/>
  <c r="AY105" i="1"/>
  <c r="BA105" i="1" s="1"/>
  <c r="G103" i="1"/>
  <c r="BG103" i="1"/>
  <c r="BJ103" i="1" s="1"/>
  <c r="AO99" i="1"/>
  <c r="AW102" i="1"/>
  <c r="AV102" i="1"/>
  <c r="AS103" i="1" s="1"/>
  <c r="E102" i="1"/>
  <c r="AA102" i="1"/>
  <c r="N103" i="1" l="1"/>
  <c r="Z103" i="1" s="1"/>
  <c r="BO104" i="1"/>
  <c r="BL105" i="1"/>
  <c r="AJ99" i="1"/>
  <c r="AK99" i="1" s="1"/>
  <c r="AP99" i="1" s="1"/>
  <c r="AY106" i="1"/>
  <c r="BA106" i="1" s="1"/>
  <c r="AY107" i="1" s="1"/>
  <c r="BA107" i="1" s="1"/>
  <c r="F102" i="1"/>
  <c r="BI103" i="1"/>
  <c r="BH103" i="1" s="1"/>
  <c r="AU103" i="1"/>
  <c r="AZ103" i="1"/>
  <c r="BB103" i="1" s="1"/>
  <c r="BC103" i="1" s="1"/>
  <c r="AT103" i="1"/>
  <c r="AN100" i="1"/>
  <c r="AL101" i="1" s="1"/>
  <c r="AM100" i="1"/>
  <c r="T104" i="1"/>
  <c r="V104" i="1" s="1"/>
  <c r="O105" i="1" s="1"/>
  <c r="U105" i="1" s="1"/>
  <c r="Y103" i="1" l="1"/>
  <c r="AA103" i="1" s="1"/>
  <c r="AD102" i="1"/>
  <c r="AE102" i="1" s="1"/>
  <c r="BM105" i="1"/>
  <c r="BN105" i="1"/>
  <c r="AI100" i="1"/>
  <c r="AG101" i="1" s="1"/>
  <c r="AH100" i="1"/>
  <c r="AY108" i="1"/>
  <c r="BA108" i="1" s="1"/>
  <c r="BG104" i="1"/>
  <c r="BJ104" i="1" s="1"/>
  <c r="G104" i="1"/>
  <c r="CF102" i="1"/>
  <c r="CB102" i="1"/>
  <c r="BX103" i="1" s="1"/>
  <c r="CJ102" i="1"/>
  <c r="BV102" i="1"/>
  <c r="BR103" i="1" s="1"/>
  <c r="BU103" i="1" s="1"/>
  <c r="CM102" i="1"/>
  <c r="CN102" i="1" s="1"/>
  <c r="H102" i="1"/>
  <c r="J102" i="1" s="1"/>
  <c r="AV103" i="1"/>
  <c r="AS104" i="1" s="1"/>
  <c r="AW103" i="1"/>
  <c r="E103" i="1"/>
  <c r="AO100" i="1"/>
  <c r="BO105" i="1" l="1"/>
  <c r="BL106" i="1"/>
  <c r="N104" i="1"/>
  <c r="Z104" i="1" s="1"/>
  <c r="AJ100" i="1"/>
  <c r="AK100" i="1" s="1"/>
  <c r="AP100" i="1" s="1"/>
  <c r="AY109" i="1"/>
  <c r="BA109" i="1" s="1"/>
  <c r="BT103" i="1"/>
  <c r="BS103" i="1" s="1"/>
  <c r="CG102" i="1"/>
  <c r="CD103" i="1"/>
  <c r="BY103" i="1"/>
  <c r="BZ103" i="1"/>
  <c r="CE103" i="1"/>
  <c r="AM101" i="1"/>
  <c r="AN101" i="1"/>
  <c r="AL102" i="1" s="1"/>
  <c r="T105" i="1"/>
  <c r="V105" i="1" s="1"/>
  <c r="O106" i="1" s="1"/>
  <c r="U106" i="1" s="1"/>
  <c r="BI104" i="1"/>
  <c r="BH104" i="1" s="1"/>
  <c r="F103" i="1"/>
  <c r="AZ104" i="1"/>
  <c r="BB104" i="1" s="1"/>
  <c r="BC104" i="1" s="1"/>
  <c r="AU104" i="1"/>
  <c r="AT104" i="1"/>
  <c r="BN106" i="1" l="1"/>
  <c r="BM106" i="1"/>
  <c r="AD103" i="1"/>
  <c r="AE103" i="1" s="1"/>
  <c r="Y104" i="1"/>
  <c r="AA104" i="1" s="1"/>
  <c r="AI101" i="1"/>
  <c r="AG102" i="1" s="1"/>
  <c r="AH101" i="1"/>
  <c r="AY110" i="1"/>
  <c r="BA110" i="1" s="1"/>
  <c r="AY111" i="1" s="1"/>
  <c r="BA111" i="1" s="1"/>
  <c r="AY112" i="1" s="1"/>
  <c r="BA112" i="1" s="1"/>
  <c r="AY113" i="1" s="1"/>
  <c r="BA113" i="1" s="1"/>
  <c r="AY114" i="1" s="1"/>
  <c r="BA114" i="1" s="1"/>
  <c r="AY115" i="1" s="1"/>
  <c r="BA115" i="1" s="1"/>
  <c r="AY116" i="1" s="1"/>
  <c r="BA116" i="1" s="1"/>
  <c r="AY117" i="1" s="1"/>
  <c r="BA117" i="1" s="1"/>
  <c r="AY118" i="1" s="1"/>
  <c r="BA118" i="1" s="1"/>
  <c r="AY119" i="1" s="1"/>
  <c r="BA119" i="1" s="1"/>
  <c r="AY120" i="1" s="1"/>
  <c r="BA120" i="1" s="1"/>
  <c r="AY121" i="1" s="1"/>
  <c r="BA121" i="1" s="1"/>
  <c r="AY122" i="1" s="1"/>
  <c r="BA122" i="1" s="1"/>
  <c r="AY123" i="1" s="1"/>
  <c r="BA123" i="1" s="1"/>
  <c r="AY124" i="1" s="1"/>
  <c r="BA124" i="1" s="1"/>
  <c r="AY125" i="1" s="1"/>
  <c r="BA125" i="1" s="1"/>
  <c r="CA103" i="1"/>
  <c r="CB103" i="1" s="1"/>
  <c r="BX104" i="1" s="1"/>
  <c r="E104" i="1"/>
  <c r="AO101" i="1"/>
  <c r="AW104" i="1"/>
  <c r="AV104" i="1"/>
  <c r="AS105" i="1" s="1"/>
  <c r="CM103" i="1"/>
  <c r="CN103" i="1" s="1"/>
  <c r="CF103" i="1"/>
  <c r="CJ103" i="1"/>
  <c r="BV103" i="1"/>
  <c r="BR104" i="1" s="1"/>
  <c r="BU104" i="1" s="1"/>
  <c r="H103" i="1"/>
  <c r="J103" i="1" s="1"/>
  <c r="G105" i="1"/>
  <c r="BG105" i="1"/>
  <c r="BJ105" i="1" s="1"/>
  <c r="BO106" i="1" l="1"/>
  <c r="BL107" i="1"/>
  <c r="N105" i="1"/>
  <c r="Z105" i="1" s="1"/>
  <c r="AJ101" i="1"/>
  <c r="AK101" i="1" s="1"/>
  <c r="AP101" i="1" s="1"/>
  <c r="BT104" i="1"/>
  <c r="BS104" i="1" s="1"/>
  <c r="CG103" i="1"/>
  <c r="CD104" i="1"/>
  <c r="BY104" i="1"/>
  <c r="BZ104" i="1"/>
  <c r="CE104" i="1"/>
  <c r="AU105" i="1"/>
  <c r="AZ105" i="1"/>
  <c r="BB105" i="1" s="1"/>
  <c r="BC105" i="1" s="1"/>
  <c r="AT105" i="1"/>
  <c r="BI105" i="1"/>
  <c r="BH105" i="1" s="1"/>
  <c r="AM102" i="1"/>
  <c r="AN102" i="1"/>
  <c r="AL103" i="1" s="1"/>
  <c r="F104" i="1"/>
  <c r="T106" i="1"/>
  <c r="V106" i="1" s="1"/>
  <c r="O107" i="1" s="1"/>
  <c r="U107" i="1" s="1"/>
  <c r="Y105" i="1" l="1"/>
  <c r="AA105" i="1" s="1"/>
  <c r="BN107" i="1"/>
  <c r="BM107" i="1"/>
  <c r="AD104" i="1"/>
  <c r="AE104" i="1" s="1"/>
  <c r="AH102" i="1"/>
  <c r="AI102" i="1"/>
  <c r="AG103" i="1" s="1"/>
  <c r="CA104" i="1"/>
  <c r="CB104" i="1" s="1"/>
  <c r="BX105" i="1" s="1"/>
  <c r="E105" i="1"/>
  <c r="BG106" i="1"/>
  <c r="BJ106" i="1" s="1"/>
  <c r="AO102" i="1"/>
  <c r="AW105" i="1"/>
  <c r="AV105" i="1"/>
  <c r="AS106" i="1" s="1"/>
  <c r="G106" i="1"/>
  <c r="CF104" i="1"/>
  <c r="CM104" i="1"/>
  <c r="CN104" i="1" s="1"/>
  <c r="CJ104" i="1"/>
  <c r="BV104" i="1"/>
  <c r="BR105" i="1" s="1"/>
  <c r="BU105" i="1" s="1"/>
  <c r="H104" i="1"/>
  <c r="J104" i="1" s="1"/>
  <c r="BO107" i="1" l="1"/>
  <c r="BL108" i="1"/>
  <c r="N106" i="1"/>
  <c r="Z106" i="1" s="1"/>
  <c r="AJ102" i="1"/>
  <c r="AK102" i="1" s="1"/>
  <c r="AP102" i="1" s="1"/>
  <c r="BT105" i="1"/>
  <c r="BS105" i="1" s="1"/>
  <c r="CG104" i="1"/>
  <c r="CD105" i="1"/>
  <c r="AM103" i="1"/>
  <c r="AN103" i="1"/>
  <c r="AL104" i="1" s="1"/>
  <c r="BI106" i="1"/>
  <c r="BH106" i="1" s="1"/>
  <c r="BG107" i="1" s="1"/>
  <c r="BJ107" i="1" s="1"/>
  <c r="AT106" i="1"/>
  <c r="AZ106" i="1"/>
  <c r="BB106" i="1" s="1"/>
  <c r="BC106" i="1" s="1"/>
  <c r="AU106" i="1"/>
  <c r="T107" i="1"/>
  <c r="V107" i="1" s="1"/>
  <c r="O108" i="1" s="1"/>
  <c r="U108" i="1" s="1"/>
  <c r="F105" i="1"/>
  <c r="BZ105" i="1"/>
  <c r="BY105" i="1"/>
  <c r="CE105" i="1"/>
  <c r="BM108" i="1" l="1"/>
  <c r="BN108" i="1"/>
  <c r="AD105" i="1"/>
  <c r="AE105" i="1" s="1"/>
  <c r="Y106" i="1"/>
  <c r="AA106" i="1" s="1"/>
  <c r="AI103" i="1"/>
  <c r="AG104" i="1" s="1"/>
  <c r="AH103" i="1"/>
  <c r="AW106" i="1"/>
  <c r="AV106" i="1"/>
  <c r="AS107" i="1" s="1"/>
  <c r="E106" i="1"/>
  <c r="CA105" i="1"/>
  <c r="CB105" i="1" s="1"/>
  <c r="BX106" i="1" s="1"/>
  <c r="CJ105" i="1"/>
  <c r="BV105" i="1"/>
  <c r="BR106" i="1" s="1"/>
  <c r="BU106" i="1" s="1"/>
  <c r="CM105" i="1"/>
  <c r="CN105" i="1" s="1"/>
  <c r="CF105" i="1"/>
  <c r="H105" i="1"/>
  <c r="J105" i="1" s="1"/>
  <c r="AO103" i="1"/>
  <c r="G107" i="1"/>
  <c r="BO108" i="1" l="1"/>
  <c r="BL109" i="1"/>
  <c r="N107" i="1"/>
  <c r="Z107" i="1" s="1"/>
  <c r="AJ103" i="1"/>
  <c r="AK103" i="1" s="1"/>
  <c r="AP103" i="1" s="1"/>
  <c r="BT106" i="1"/>
  <c r="BS106" i="1" s="1"/>
  <c r="CG105" i="1"/>
  <c r="CD106" i="1"/>
  <c r="CE106" i="1"/>
  <c r="BZ106" i="1"/>
  <c r="BY106" i="1"/>
  <c r="AM104" i="1"/>
  <c r="AN104" i="1"/>
  <c r="AL105" i="1" s="1"/>
  <c r="F106" i="1"/>
  <c r="AZ107" i="1"/>
  <c r="BB107" i="1" s="1"/>
  <c r="BC107" i="1" s="1"/>
  <c r="AT107" i="1"/>
  <c r="AU107" i="1"/>
  <c r="T108" i="1"/>
  <c r="V108" i="1" s="1"/>
  <c r="O109" i="1" s="1"/>
  <c r="U109" i="1" s="1"/>
  <c r="BI107" i="1"/>
  <c r="BH107" i="1" s="1"/>
  <c r="BG108" i="1" s="1"/>
  <c r="BJ108" i="1" s="1"/>
  <c r="BN109" i="1" l="1"/>
  <c r="BM109" i="1"/>
  <c r="AD106" i="1"/>
  <c r="AE106" i="1" s="1"/>
  <c r="Y107" i="1"/>
  <c r="AA107" i="1" s="1"/>
  <c r="N108" i="1" s="1"/>
  <c r="Z108" i="1" s="1"/>
  <c r="AH104" i="1"/>
  <c r="AI104" i="1"/>
  <c r="AG105" i="1" s="1"/>
  <c r="CJ106" i="1"/>
  <c r="BV106" i="1"/>
  <c r="BR107" i="1" s="1"/>
  <c r="BU107" i="1" s="1"/>
  <c r="CF106" i="1"/>
  <c r="CM106" i="1"/>
  <c r="CN106" i="1" s="1"/>
  <c r="H106" i="1"/>
  <c r="J106" i="1" s="1"/>
  <c r="AO104" i="1"/>
  <c r="E107" i="1"/>
  <c r="G108" i="1"/>
  <c r="CA106" i="1"/>
  <c r="CB106" i="1" s="1"/>
  <c r="BX107" i="1" s="1"/>
  <c r="AW107" i="1"/>
  <c r="AV107" i="1"/>
  <c r="AS108" i="1" s="1"/>
  <c r="BO109" i="1" l="1"/>
  <c r="BL110" i="1"/>
  <c r="AJ104" i="1"/>
  <c r="AK104" i="1" s="1"/>
  <c r="AP104" i="1" s="1"/>
  <c r="BT107" i="1"/>
  <c r="BS107" i="1" s="1"/>
  <c r="CG106" i="1"/>
  <c r="CD107" i="1"/>
  <c r="BY107" i="1"/>
  <c r="CE107" i="1"/>
  <c r="BZ107" i="1"/>
  <c r="AM105" i="1"/>
  <c r="AN105" i="1"/>
  <c r="AL106" i="1" s="1"/>
  <c r="BI108" i="1"/>
  <c r="BH108" i="1" s="1"/>
  <c r="BG109" i="1" s="1"/>
  <c r="BJ109" i="1" s="1"/>
  <c r="Y108" i="1"/>
  <c r="T109" i="1"/>
  <c r="V109" i="1" s="1"/>
  <c r="O110" i="1" s="1"/>
  <c r="U110" i="1" s="1"/>
  <c r="AT108" i="1"/>
  <c r="AZ108" i="1"/>
  <c r="BB108" i="1" s="1"/>
  <c r="BC108" i="1" s="1"/>
  <c r="AU108" i="1"/>
  <c r="F107" i="1"/>
  <c r="AD107" i="1" l="1"/>
  <c r="AE107" i="1" s="1"/>
  <c r="BM110" i="1"/>
  <c r="BN110" i="1"/>
  <c r="AH105" i="1"/>
  <c r="AI105" i="1"/>
  <c r="AG106" i="1" s="1"/>
  <c r="CA107" i="1"/>
  <c r="CB107" i="1" s="1"/>
  <c r="BX108" i="1" s="1"/>
  <c r="AO105" i="1"/>
  <c r="BV107" i="1"/>
  <c r="BR108" i="1" s="1"/>
  <c r="BU108" i="1" s="1"/>
  <c r="CJ107" i="1"/>
  <c r="CM107" i="1"/>
  <c r="CN107" i="1" s="1"/>
  <c r="CF107" i="1"/>
  <c r="H107" i="1"/>
  <c r="J107" i="1" s="1"/>
  <c r="AW108" i="1"/>
  <c r="AV108" i="1"/>
  <c r="AS109" i="1" s="1"/>
  <c r="G109" i="1"/>
  <c r="AA108" i="1"/>
  <c r="N109" i="1" s="1"/>
  <c r="Z109" i="1" s="1"/>
  <c r="E108" i="1"/>
  <c r="BO110" i="1" l="1"/>
  <c r="BL111" i="1"/>
  <c r="AJ105" i="1"/>
  <c r="AK105" i="1" s="1"/>
  <c r="AP105" i="1" s="1"/>
  <c r="BT108" i="1"/>
  <c r="BS108" i="1" s="1"/>
  <c r="CG107" i="1"/>
  <c r="CD108" i="1"/>
  <c r="BZ108" i="1"/>
  <c r="CE108" i="1"/>
  <c r="BY108" i="1"/>
  <c r="T110" i="1"/>
  <c r="V110" i="1" s="1"/>
  <c r="O111" i="1" s="1"/>
  <c r="U111" i="1" s="1"/>
  <c r="BI109" i="1"/>
  <c r="BH109" i="1" s="1"/>
  <c r="BG110" i="1" s="1"/>
  <c r="BJ110" i="1" s="1"/>
  <c r="AU109" i="1"/>
  <c r="AT109" i="1"/>
  <c r="AZ109" i="1"/>
  <c r="BB109" i="1" s="1"/>
  <c r="BC109" i="1" s="1"/>
  <c r="F108" i="1"/>
  <c r="AM106" i="1"/>
  <c r="AN106" i="1"/>
  <c r="AL107" i="1" s="1"/>
  <c r="Y109" i="1"/>
  <c r="AD108" i="1" l="1"/>
  <c r="AE108" i="1" s="1"/>
  <c r="BM111" i="1"/>
  <c r="BN111" i="1"/>
  <c r="AI106" i="1"/>
  <c r="AG107" i="1" s="1"/>
  <c r="AH106" i="1"/>
  <c r="AV109" i="1"/>
  <c r="AS110" i="1" s="1"/>
  <c r="AW109" i="1"/>
  <c r="G110" i="1"/>
  <c r="AO106" i="1"/>
  <c r="BV108" i="1"/>
  <c r="BR109" i="1" s="1"/>
  <c r="BU109" i="1" s="1"/>
  <c r="CF108" i="1"/>
  <c r="CJ108" i="1"/>
  <c r="CM108" i="1"/>
  <c r="CN108" i="1" s="1"/>
  <c r="H108" i="1"/>
  <c r="J108" i="1" s="1"/>
  <c r="E109" i="1"/>
  <c r="AA109" i="1"/>
  <c r="N110" i="1" s="1"/>
  <c r="Z110" i="1" s="1"/>
  <c r="CA108" i="1"/>
  <c r="CB108" i="1" s="1"/>
  <c r="BX109" i="1" s="1"/>
  <c r="BO111" i="1" l="1"/>
  <c r="BL112" i="1"/>
  <c r="AJ106" i="1"/>
  <c r="AK106" i="1" s="1"/>
  <c r="AP106" i="1" s="1"/>
  <c r="BT109" i="1"/>
  <c r="BS109" i="1" s="1"/>
  <c r="CG108" i="1"/>
  <c r="CD109" i="1"/>
  <c r="AN107" i="1"/>
  <c r="AL108" i="1" s="1"/>
  <c r="AM107" i="1"/>
  <c r="Y110" i="1"/>
  <c r="F109" i="1"/>
  <c r="T111" i="1"/>
  <c r="V111" i="1" s="1"/>
  <c r="O112" i="1" s="1"/>
  <c r="U112" i="1" s="1"/>
  <c r="BI110" i="1"/>
  <c r="BH110" i="1" s="1"/>
  <c r="BG111" i="1" s="1"/>
  <c r="BJ111" i="1" s="1"/>
  <c r="CE109" i="1"/>
  <c r="BY109" i="1"/>
  <c r="BZ109" i="1"/>
  <c r="AZ110" i="1"/>
  <c r="BB110" i="1" s="1"/>
  <c r="BC110" i="1" s="1"/>
  <c r="AT110" i="1"/>
  <c r="AU110" i="1"/>
  <c r="AD109" i="1" l="1"/>
  <c r="AE109" i="1" s="1"/>
  <c r="BM112" i="1"/>
  <c r="BN112" i="1"/>
  <c r="AI107" i="1"/>
  <c r="AG108" i="1" s="1"/>
  <c r="AH107" i="1"/>
  <c r="CA109" i="1"/>
  <c r="CB109" i="1" s="1"/>
  <c r="BX110" i="1" s="1"/>
  <c r="CE110" i="1" s="1"/>
  <c r="G111" i="1"/>
  <c r="BV109" i="1"/>
  <c r="BR110" i="1" s="1"/>
  <c r="BU110" i="1" s="1"/>
  <c r="CM109" i="1"/>
  <c r="CN109" i="1" s="1"/>
  <c r="CF109" i="1"/>
  <c r="CJ109" i="1"/>
  <c r="H109" i="1"/>
  <c r="J109" i="1" s="1"/>
  <c r="E110" i="1"/>
  <c r="AA110" i="1"/>
  <c r="N111" i="1" s="1"/>
  <c r="Z111" i="1" s="1"/>
  <c r="AW110" i="1"/>
  <c r="AV110" i="1"/>
  <c r="AS111" i="1" s="1"/>
  <c r="AO107" i="1"/>
  <c r="BO112" i="1" l="1"/>
  <c r="BL113" i="1"/>
  <c r="AJ107" i="1"/>
  <c r="AK107" i="1" s="1"/>
  <c r="AP107" i="1" s="1"/>
  <c r="BY110" i="1"/>
  <c r="BT110" i="1"/>
  <c r="BS110" i="1" s="1"/>
  <c r="BZ110" i="1"/>
  <c r="CG109" i="1"/>
  <c r="CD110" i="1"/>
  <c r="Y111" i="1"/>
  <c r="F110" i="1"/>
  <c r="AN108" i="1"/>
  <c r="AL109" i="1" s="1"/>
  <c r="AM108" i="1"/>
  <c r="T112" i="1"/>
  <c r="V112" i="1" s="1"/>
  <c r="O113" i="1" s="1"/>
  <c r="U113" i="1" s="1"/>
  <c r="BI111" i="1"/>
  <c r="BH111" i="1" s="1"/>
  <c r="BG112" i="1" s="1"/>
  <c r="BJ112" i="1" s="1"/>
  <c r="AU111" i="1"/>
  <c r="AT111" i="1"/>
  <c r="AZ111" i="1"/>
  <c r="BB111" i="1" s="1"/>
  <c r="BC111" i="1" s="1"/>
  <c r="AD110" i="1" l="1"/>
  <c r="AE110" i="1" s="1"/>
  <c r="BN113" i="1"/>
  <c r="BM113" i="1"/>
  <c r="CA110" i="1"/>
  <c r="CB110" i="1" s="1"/>
  <c r="BX111" i="1" s="1"/>
  <c r="AH108" i="1"/>
  <c r="AI108" i="1"/>
  <c r="AG109" i="1" s="1"/>
  <c r="G112" i="1"/>
  <c r="AO108" i="1"/>
  <c r="CF110" i="1"/>
  <c r="CJ110" i="1"/>
  <c r="CM110" i="1"/>
  <c r="CN110" i="1" s="1"/>
  <c r="BV110" i="1"/>
  <c r="BR111" i="1" s="1"/>
  <c r="BU111" i="1" s="1"/>
  <c r="H110" i="1"/>
  <c r="J110" i="1" s="1"/>
  <c r="AV111" i="1"/>
  <c r="AS112" i="1" s="1"/>
  <c r="AW111" i="1"/>
  <c r="AA111" i="1"/>
  <c r="N112" i="1" s="1"/>
  <c r="Z112" i="1" s="1"/>
  <c r="E111" i="1"/>
  <c r="BO113" i="1" l="1"/>
  <c r="BL114" i="1"/>
  <c r="AJ108" i="1"/>
  <c r="AK108" i="1" s="1"/>
  <c r="AP108" i="1" s="1"/>
  <c r="BT111" i="1"/>
  <c r="BS111" i="1" s="1"/>
  <c r="CG110" i="1"/>
  <c r="CD111" i="1"/>
  <c r="AT112" i="1"/>
  <c r="AZ112" i="1"/>
  <c r="BB112" i="1" s="1"/>
  <c r="BC112" i="1" s="1"/>
  <c r="AU112" i="1"/>
  <c r="AM109" i="1"/>
  <c r="AN109" i="1"/>
  <c r="AL110" i="1" s="1"/>
  <c r="BY111" i="1"/>
  <c r="CE111" i="1"/>
  <c r="BZ111" i="1"/>
  <c r="BI112" i="1"/>
  <c r="BH112" i="1" s="1"/>
  <c r="BG113" i="1" s="1"/>
  <c r="BJ113" i="1" s="1"/>
  <c r="F111" i="1"/>
  <c r="Y112" i="1"/>
  <c r="T113" i="1"/>
  <c r="V113" i="1" s="1"/>
  <c r="O114" i="1" s="1"/>
  <c r="U114" i="1" s="1"/>
  <c r="BM114" i="1" l="1"/>
  <c r="BN114" i="1"/>
  <c r="AD111" i="1"/>
  <c r="AE111" i="1" s="1"/>
  <c r="AI109" i="1"/>
  <c r="AG110" i="1" s="1"/>
  <c r="AH109" i="1"/>
  <c r="CA111" i="1"/>
  <c r="CB111" i="1" s="1"/>
  <c r="BX112" i="1" s="1"/>
  <c r="CM111" i="1"/>
  <c r="CN111" i="1" s="1"/>
  <c r="CF111" i="1"/>
  <c r="BV111" i="1"/>
  <c r="BR112" i="1" s="1"/>
  <c r="BU112" i="1" s="1"/>
  <c r="CJ111" i="1"/>
  <c r="H111" i="1"/>
  <c r="J111" i="1" s="1"/>
  <c r="G113" i="1"/>
  <c r="AO109" i="1"/>
  <c r="AV112" i="1"/>
  <c r="AS113" i="1" s="1"/>
  <c r="AW112" i="1"/>
  <c r="E112" i="1"/>
  <c r="AA112" i="1"/>
  <c r="N113" i="1" s="1"/>
  <c r="Z113" i="1" s="1"/>
  <c r="BO114" i="1" l="1"/>
  <c r="BL115" i="1"/>
  <c r="AJ109" i="1"/>
  <c r="AK109" i="1" s="1"/>
  <c r="AP109" i="1" s="1"/>
  <c r="BT112" i="1"/>
  <c r="BS112" i="1" s="1"/>
  <c r="CG111" i="1"/>
  <c r="CD112" i="1"/>
  <c r="T114" i="1"/>
  <c r="V114" i="1" s="1"/>
  <c r="O115" i="1" s="1"/>
  <c r="U115" i="1" s="1"/>
  <c r="F112" i="1"/>
  <c r="AM110" i="1"/>
  <c r="AN110" i="1"/>
  <c r="AL111" i="1" s="1"/>
  <c r="AT113" i="1"/>
  <c r="AU113" i="1"/>
  <c r="AZ113" i="1"/>
  <c r="BB113" i="1" s="1"/>
  <c r="BC113" i="1" s="1"/>
  <c r="BZ112" i="1"/>
  <c r="BY112" i="1"/>
  <c r="CE112" i="1"/>
  <c r="BI113" i="1"/>
  <c r="BH113" i="1" s="1"/>
  <c r="BG114" i="1" s="1"/>
  <c r="BJ114" i="1" s="1"/>
  <c r="Y113" i="1"/>
  <c r="AD112" i="1" l="1"/>
  <c r="AE112" i="1" s="1"/>
  <c r="BM115" i="1"/>
  <c r="BN115" i="1"/>
  <c r="AI110" i="1"/>
  <c r="AG111" i="1" s="1"/>
  <c r="AH110" i="1"/>
  <c r="AV113" i="1"/>
  <c r="AS114" i="1" s="1"/>
  <c r="AW113" i="1"/>
  <c r="E113" i="1"/>
  <c r="AA113" i="1"/>
  <c r="N114" i="1" s="1"/>
  <c r="Z114" i="1" s="1"/>
  <c r="CF112" i="1"/>
  <c r="CJ112" i="1"/>
  <c r="BV112" i="1"/>
  <c r="BR113" i="1" s="1"/>
  <c r="BU113" i="1" s="1"/>
  <c r="CM112" i="1"/>
  <c r="CN112" i="1" s="1"/>
  <c r="H112" i="1"/>
  <c r="J112" i="1" s="1"/>
  <c r="CA112" i="1"/>
  <c r="CB112" i="1" s="1"/>
  <c r="BX113" i="1" s="1"/>
  <c r="AO110" i="1"/>
  <c r="G114" i="1"/>
  <c r="BO115" i="1" l="1"/>
  <c r="BL116" i="1"/>
  <c r="AJ110" i="1"/>
  <c r="AK110" i="1" s="1"/>
  <c r="AP110" i="1" s="1"/>
  <c r="BT113" i="1"/>
  <c r="BS113" i="1" s="1"/>
  <c r="CG112" i="1"/>
  <c r="CD113" i="1"/>
  <c r="AM111" i="1"/>
  <c r="AN111" i="1"/>
  <c r="AL112" i="1" s="1"/>
  <c r="Y114" i="1"/>
  <c r="CE113" i="1"/>
  <c r="BZ113" i="1"/>
  <c r="BY113" i="1"/>
  <c r="F113" i="1"/>
  <c r="T115" i="1"/>
  <c r="V115" i="1" s="1"/>
  <c r="O116" i="1" s="1"/>
  <c r="U116" i="1" s="1"/>
  <c r="BI114" i="1"/>
  <c r="BH114" i="1" s="1"/>
  <c r="BG115" i="1" s="1"/>
  <c r="BJ115" i="1" s="1"/>
  <c r="AT114" i="1"/>
  <c r="AZ114" i="1"/>
  <c r="BB114" i="1" s="1"/>
  <c r="BC114" i="1" s="1"/>
  <c r="AU114" i="1"/>
  <c r="BN116" i="1" l="1"/>
  <c r="BM116" i="1"/>
  <c r="AD113" i="1"/>
  <c r="AE113" i="1" s="1"/>
  <c r="AH111" i="1"/>
  <c r="AI111" i="1"/>
  <c r="AG112" i="1" s="1"/>
  <c r="CM113" i="1"/>
  <c r="CN113" i="1" s="1"/>
  <c r="BV113" i="1"/>
  <c r="BR114" i="1" s="1"/>
  <c r="BU114" i="1" s="1"/>
  <c r="CF113" i="1"/>
  <c r="CJ113" i="1"/>
  <c r="H113" i="1"/>
  <c r="J113" i="1" s="1"/>
  <c r="E114" i="1"/>
  <c r="AA114" i="1"/>
  <c r="N115" i="1" s="1"/>
  <c r="Z115" i="1" s="1"/>
  <c r="AV114" i="1"/>
  <c r="AS115" i="1" s="1"/>
  <c r="AW114" i="1"/>
  <c r="CA113" i="1"/>
  <c r="CB113" i="1" s="1"/>
  <c r="BX114" i="1" s="1"/>
  <c r="AO111" i="1"/>
  <c r="G115" i="1"/>
  <c r="BO116" i="1" l="1"/>
  <c r="BL117" i="1"/>
  <c r="AJ111" i="1"/>
  <c r="AK111" i="1" s="1"/>
  <c r="AP111" i="1" s="1"/>
  <c r="BT114" i="1"/>
  <c r="BS114" i="1" s="1"/>
  <c r="CG113" i="1"/>
  <c r="CD114" i="1"/>
  <c r="CE114" i="1"/>
  <c r="BZ114" i="1"/>
  <c r="BY114" i="1"/>
  <c r="T116" i="1"/>
  <c r="V116" i="1" s="1"/>
  <c r="O117" i="1" s="1"/>
  <c r="U117" i="1" s="1"/>
  <c r="Y115" i="1"/>
  <c r="F114" i="1"/>
  <c r="AM112" i="1"/>
  <c r="AN112" i="1"/>
  <c r="AL113" i="1" s="1"/>
  <c r="AU115" i="1"/>
  <c r="AT115" i="1"/>
  <c r="AZ115" i="1"/>
  <c r="BB115" i="1" s="1"/>
  <c r="BC115" i="1" s="1"/>
  <c r="BI115" i="1"/>
  <c r="BH115" i="1" s="1"/>
  <c r="BG116" i="1" s="1"/>
  <c r="BJ116" i="1" s="1"/>
  <c r="BN117" i="1" l="1"/>
  <c r="BM117" i="1"/>
  <c r="AD114" i="1"/>
  <c r="AE114" i="1" s="1"/>
  <c r="AI112" i="1"/>
  <c r="AG113" i="1" s="1"/>
  <c r="AH112" i="1"/>
  <c r="AO112" i="1"/>
  <c r="E115" i="1"/>
  <c r="AA115" i="1"/>
  <c r="N116" i="1" s="1"/>
  <c r="Z116" i="1" s="1"/>
  <c r="G116" i="1"/>
  <c r="CJ114" i="1"/>
  <c r="CF114" i="1"/>
  <c r="CM114" i="1"/>
  <c r="CN114" i="1" s="1"/>
  <c r="BV114" i="1"/>
  <c r="BR115" i="1" s="1"/>
  <c r="BU115" i="1" s="1"/>
  <c r="H114" i="1"/>
  <c r="J114" i="1" s="1"/>
  <c r="AV115" i="1"/>
  <c r="AS116" i="1" s="1"/>
  <c r="AW115" i="1"/>
  <c r="CA114" i="1"/>
  <c r="CB114" i="1" s="1"/>
  <c r="BX115" i="1" s="1"/>
  <c r="BO117" i="1" l="1"/>
  <c r="BL118" i="1"/>
  <c r="AJ112" i="1"/>
  <c r="AK112" i="1" s="1"/>
  <c r="AP112" i="1" s="1"/>
  <c r="BT115" i="1"/>
  <c r="BS115" i="1" s="1"/>
  <c r="CG114" i="1"/>
  <c r="CD115" i="1"/>
  <c r="BY115" i="1"/>
  <c r="BZ115" i="1"/>
  <c r="CE115" i="1"/>
  <c r="BI116" i="1"/>
  <c r="BH116" i="1" s="1"/>
  <c r="BG117" i="1" s="1"/>
  <c r="BJ117" i="1" s="1"/>
  <c r="T117" i="1"/>
  <c r="V117" i="1" s="1"/>
  <c r="O118" i="1" s="1"/>
  <c r="U118" i="1" s="1"/>
  <c r="Y116" i="1"/>
  <c r="AN113" i="1"/>
  <c r="AL114" i="1" s="1"/>
  <c r="AM113" i="1"/>
  <c r="AZ116" i="1"/>
  <c r="BB116" i="1" s="1"/>
  <c r="BC116" i="1" s="1"/>
  <c r="AU116" i="1"/>
  <c r="AT116" i="1"/>
  <c r="F115" i="1"/>
  <c r="AD115" i="1" l="1"/>
  <c r="AE115" i="1" s="1"/>
  <c r="BM118" i="1"/>
  <c r="BN118" i="1"/>
  <c r="AH113" i="1"/>
  <c r="AI113" i="1"/>
  <c r="AG114" i="1" s="1"/>
  <c r="CA115" i="1"/>
  <c r="CB115" i="1" s="1"/>
  <c r="BX116" i="1" s="1"/>
  <c r="G117" i="1"/>
  <c r="CF115" i="1"/>
  <c r="BV115" i="1"/>
  <c r="BR116" i="1" s="1"/>
  <c r="BU116" i="1" s="1"/>
  <c r="CM115" i="1"/>
  <c r="CN115" i="1" s="1"/>
  <c r="CJ115" i="1"/>
  <c r="H115" i="1"/>
  <c r="J115" i="1" s="1"/>
  <c r="AV116" i="1"/>
  <c r="AS117" i="1" s="1"/>
  <c r="AW116" i="1"/>
  <c r="AO113" i="1"/>
  <c r="AA116" i="1"/>
  <c r="N117" i="1" s="1"/>
  <c r="Z117" i="1" s="1"/>
  <c r="E116" i="1"/>
  <c r="BO118" i="1" l="1"/>
  <c r="BL119" i="1"/>
  <c r="AJ113" i="1"/>
  <c r="AK113" i="1" s="1"/>
  <c r="AP113" i="1" s="1"/>
  <c r="BT116" i="1"/>
  <c r="BS116" i="1" s="1"/>
  <c r="CG115" i="1"/>
  <c r="CD116" i="1"/>
  <c r="CE116" i="1"/>
  <c r="BY116" i="1"/>
  <c r="BZ116" i="1"/>
  <c r="AM114" i="1"/>
  <c r="AN114" i="1"/>
  <c r="AL115" i="1" s="1"/>
  <c r="AZ117" i="1"/>
  <c r="BB117" i="1" s="1"/>
  <c r="BC117" i="1" s="1"/>
  <c r="AT117" i="1"/>
  <c r="AU117" i="1"/>
  <c r="BI117" i="1"/>
  <c r="BH117" i="1" s="1"/>
  <c r="BG118" i="1" s="1"/>
  <c r="BJ118" i="1" s="1"/>
  <c r="F116" i="1"/>
  <c r="Y117" i="1"/>
  <c r="T118" i="1"/>
  <c r="V118" i="1" s="1"/>
  <c r="O119" i="1" s="1"/>
  <c r="AD116" i="1" l="1"/>
  <c r="AE116" i="1" s="1"/>
  <c r="BM119" i="1"/>
  <c r="BN119" i="1"/>
  <c r="AH114" i="1"/>
  <c r="AI114" i="1"/>
  <c r="AG115" i="1" s="1"/>
  <c r="CA116" i="1"/>
  <c r="CB116" i="1" s="1"/>
  <c r="BX117" i="1" s="1"/>
  <c r="BZ117" i="1" s="1"/>
  <c r="AV117" i="1"/>
  <c r="AS118" i="1" s="1"/>
  <c r="AW117" i="1"/>
  <c r="E117" i="1"/>
  <c r="AA117" i="1"/>
  <c r="AO114" i="1"/>
  <c r="G118" i="1"/>
  <c r="CM116" i="1"/>
  <c r="CN116" i="1" s="1"/>
  <c r="CF116" i="1"/>
  <c r="CJ116" i="1"/>
  <c r="BV116" i="1"/>
  <c r="BR117" i="1" s="1"/>
  <c r="BU117" i="1" s="1"/>
  <c r="H116" i="1"/>
  <c r="J116" i="1" s="1"/>
  <c r="AY126" i="1"/>
  <c r="BA126" i="1" s="1"/>
  <c r="BO119" i="1" l="1"/>
  <c r="BL120" i="1"/>
  <c r="BY117" i="1"/>
  <c r="CA117" i="1" s="1"/>
  <c r="N118" i="1"/>
  <c r="Z118" i="1" s="1"/>
  <c r="CE117" i="1"/>
  <c r="AJ114" i="1"/>
  <c r="AK114" i="1" s="1"/>
  <c r="AP114" i="1" s="1"/>
  <c r="AY127" i="1"/>
  <c r="BA127" i="1" s="1"/>
  <c r="BT117" i="1"/>
  <c r="BS117" i="1" s="1"/>
  <c r="CG116" i="1"/>
  <c r="CD117" i="1"/>
  <c r="BI118" i="1"/>
  <c r="BH118" i="1" s="1"/>
  <c r="BG119" i="1" s="1"/>
  <c r="AN115" i="1"/>
  <c r="AL116" i="1" s="1"/>
  <c r="AM115" i="1"/>
  <c r="F117" i="1"/>
  <c r="AU118" i="1"/>
  <c r="AZ118" i="1"/>
  <c r="BB118" i="1" s="1"/>
  <c r="BC118" i="1" s="1"/>
  <c r="AT118" i="1"/>
  <c r="AD117" i="1" l="1"/>
  <c r="AE117" i="1" s="1"/>
  <c r="Y118" i="1"/>
  <c r="BM120" i="1"/>
  <c r="BN120" i="1"/>
  <c r="AH115" i="1"/>
  <c r="AI115" i="1"/>
  <c r="AG116" i="1" s="1"/>
  <c r="AY128" i="1"/>
  <c r="BA128" i="1" s="1"/>
  <c r="CJ117" i="1"/>
  <c r="CF117" i="1"/>
  <c r="CM117" i="1"/>
  <c r="CN117" i="1" s="1"/>
  <c r="BV117" i="1"/>
  <c r="BR118" i="1" s="1"/>
  <c r="BU118" i="1" s="1"/>
  <c r="CB117" i="1"/>
  <c r="BX118" i="1" s="1"/>
  <c r="H117" i="1"/>
  <c r="J117" i="1" s="1"/>
  <c r="E118" i="1"/>
  <c r="AA118" i="1"/>
  <c r="AO115" i="1"/>
  <c r="T119" i="1"/>
  <c r="AW118" i="1"/>
  <c r="AV118" i="1"/>
  <c r="BO120" i="1" l="1"/>
  <c r="BL121" i="1"/>
  <c r="N119" i="1"/>
  <c r="Y119" i="1" s="1"/>
  <c r="Z119" i="1" s="1"/>
  <c r="U119" i="1"/>
  <c r="AJ115" i="1"/>
  <c r="AK115" i="1" s="1"/>
  <c r="AP115" i="1" s="1"/>
  <c r="AY129" i="1"/>
  <c r="BA129" i="1" s="1"/>
  <c r="BT118" i="1"/>
  <c r="BS118" i="1" s="1"/>
  <c r="CG117" i="1"/>
  <c r="CD118" i="1"/>
  <c r="AS119" i="1"/>
  <c r="AT119" i="1" s="1"/>
  <c r="F118" i="1"/>
  <c r="BY118" i="1"/>
  <c r="BZ118" i="1"/>
  <c r="CE118" i="1"/>
  <c r="AM116" i="1"/>
  <c r="AN116" i="1"/>
  <c r="AL117" i="1" s="1"/>
  <c r="AD118" i="1" l="1"/>
  <c r="AE118" i="1" s="1"/>
  <c r="BN121" i="1"/>
  <c r="BM121" i="1"/>
  <c r="V119" i="1"/>
  <c r="O120" i="1" s="1"/>
  <c r="BJ119" i="1"/>
  <c r="BI119" i="1" s="1"/>
  <c r="G119" i="1"/>
  <c r="AI116" i="1"/>
  <c r="AG117" i="1" s="1"/>
  <c r="AH116" i="1"/>
  <c r="AY130" i="1"/>
  <c r="BA130" i="1" s="1"/>
  <c r="AY131" i="1" s="1"/>
  <c r="BA131" i="1" s="1"/>
  <c r="CA118" i="1"/>
  <c r="CB118" i="1" s="1"/>
  <c r="BX119" i="1" s="1"/>
  <c r="AU119" i="1"/>
  <c r="AV119" i="1" s="1"/>
  <c r="AZ119" i="1"/>
  <c r="BB119" i="1" s="1"/>
  <c r="BC119" i="1" s="1"/>
  <c r="E119" i="1"/>
  <c r="CF118" i="1"/>
  <c r="CJ118" i="1"/>
  <c r="BV118" i="1"/>
  <c r="BR119" i="1" s="1"/>
  <c r="CM118" i="1"/>
  <c r="CN118" i="1" s="1"/>
  <c r="H118" i="1"/>
  <c r="J118" i="1" s="1"/>
  <c r="AO116" i="1"/>
  <c r="BO121" i="1" l="1"/>
  <c r="BL122" i="1"/>
  <c r="BU119" i="1"/>
  <c r="BH119" i="1"/>
  <c r="BG120" i="1" s="1"/>
  <c r="AJ116" i="1"/>
  <c r="AK116" i="1" s="1"/>
  <c r="AP116" i="1" s="1"/>
  <c r="AY132" i="1"/>
  <c r="BA132" i="1" s="1"/>
  <c r="AY133" i="1" s="1"/>
  <c r="BA133" i="1" s="1"/>
  <c r="AY134" i="1" s="1"/>
  <c r="BA134" i="1" s="1"/>
  <c r="AY135" i="1" s="1"/>
  <c r="BA135" i="1" s="1"/>
  <c r="AY136" i="1" s="1"/>
  <c r="BA136" i="1" s="1"/>
  <c r="AY137" i="1" s="1"/>
  <c r="BA137" i="1" s="1"/>
  <c r="AY138" i="1" s="1"/>
  <c r="BA138" i="1" s="1"/>
  <c r="AS120" i="1"/>
  <c r="AT120" i="1" s="1"/>
  <c r="CG118" i="1"/>
  <c r="CD119" i="1"/>
  <c r="AA119" i="1"/>
  <c r="AW119" i="1"/>
  <c r="F119" i="1"/>
  <c r="AN117" i="1"/>
  <c r="AL118" i="1" s="1"/>
  <c r="AM117" i="1"/>
  <c r="BZ119" i="1"/>
  <c r="CE119" i="1"/>
  <c r="BY119" i="1"/>
  <c r="T120" i="1"/>
  <c r="AD119" i="1" l="1"/>
  <c r="AE119" i="1" s="1"/>
  <c r="BM122" i="1"/>
  <c r="BN122" i="1"/>
  <c r="BT119" i="1"/>
  <c r="BS119" i="1" s="1"/>
  <c r="N120" i="1"/>
  <c r="U120" i="1"/>
  <c r="V120" i="1" s="1"/>
  <c r="O121" i="1" s="1"/>
  <c r="AI117" i="1"/>
  <c r="AG118" i="1" s="1"/>
  <c r="AH117" i="1"/>
  <c r="AU120" i="1"/>
  <c r="AV120" i="1" s="1"/>
  <c r="AZ120" i="1"/>
  <c r="BB120" i="1" s="1"/>
  <c r="BC120" i="1" s="1"/>
  <c r="CA119" i="1"/>
  <c r="CB119" i="1" s="1"/>
  <c r="BX120" i="1" s="1"/>
  <c r="CM119" i="1"/>
  <c r="CN119" i="1" s="1"/>
  <c r="BV119" i="1"/>
  <c r="CF119" i="1"/>
  <c r="CJ119" i="1"/>
  <c r="H119" i="1"/>
  <c r="J119" i="1" s="1"/>
  <c r="AO117" i="1"/>
  <c r="BO122" i="1" l="1"/>
  <c r="BL123" i="1"/>
  <c r="G120" i="1"/>
  <c r="BJ120" i="1"/>
  <c r="BI120" i="1" s="1"/>
  <c r="BH120" i="1" s="1"/>
  <c r="BG121" i="1" s="1"/>
  <c r="BR120" i="1"/>
  <c r="BU120" i="1" s="1"/>
  <c r="BT120" i="1" s="1"/>
  <c r="AW120" i="1"/>
  <c r="AJ117" i="1"/>
  <c r="AK117" i="1" s="1"/>
  <c r="AP117" i="1" s="1"/>
  <c r="AS121" i="1"/>
  <c r="AZ121" i="1" s="1"/>
  <c r="BB121" i="1" s="1"/>
  <c r="BC121" i="1" s="1"/>
  <c r="CG119" i="1"/>
  <c r="CD120" i="1"/>
  <c r="Y120" i="1"/>
  <c r="Z120" i="1" s="1"/>
  <c r="BZ120" i="1"/>
  <c r="CE120" i="1"/>
  <c r="BY120" i="1"/>
  <c r="AM118" i="1"/>
  <c r="AN118" i="1"/>
  <c r="AL119" i="1" s="1"/>
  <c r="BM123" i="1" l="1"/>
  <c r="BN123" i="1"/>
  <c r="BS120" i="1"/>
  <c r="AI118" i="1"/>
  <c r="AG119" i="1" s="1"/>
  <c r="AH118" i="1"/>
  <c r="AT121" i="1"/>
  <c r="AU121" i="1" s="1"/>
  <c r="AA120" i="1"/>
  <c r="E120" i="1"/>
  <c r="T121" i="1"/>
  <c r="CA120" i="1"/>
  <c r="AO118" i="1"/>
  <c r="BO123" i="1" l="1"/>
  <c r="BL124" i="1"/>
  <c r="N121" i="1"/>
  <c r="U121" i="1"/>
  <c r="G121" i="1" s="1"/>
  <c r="AV121" i="1"/>
  <c r="AS122" i="1" s="1"/>
  <c r="AZ122" i="1" s="1"/>
  <c r="BB122" i="1" s="1"/>
  <c r="BC122" i="1" s="1"/>
  <c r="AW121" i="1"/>
  <c r="AJ118" i="1"/>
  <c r="AK118" i="1" s="1"/>
  <c r="AP118" i="1" s="1"/>
  <c r="F120" i="1"/>
  <c r="CB120" i="1" s="1"/>
  <c r="BX121" i="1" s="1"/>
  <c r="BZ121" i="1" s="1"/>
  <c r="AM119" i="1"/>
  <c r="AN119" i="1"/>
  <c r="AL120" i="1" s="1"/>
  <c r="BN124" i="1" l="1"/>
  <c r="BM124" i="1"/>
  <c r="AD120" i="1"/>
  <c r="AE120" i="1" s="1"/>
  <c r="V121" i="1"/>
  <c r="O122" i="1" s="1"/>
  <c r="BJ121" i="1"/>
  <c r="AI119" i="1"/>
  <c r="AG120" i="1" s="1"/>
  <c r="AH119" i="1"/>
  <c r="Y121" i="1"/>
  <c r="Z121" i="1" s="1"/>
  <c r="CE121" i="1"/>
  <c r="AT122" i="1"/>
  <c r="BY121" i="1"/>
  <c r="CA121" i="1" s="1"/>
  <c r="BV120" i="1"/>
  <c r="BR121" i="1" s="1"/>
  <c r="H120" i="1"/>
  <c r="J120" i="1" s="1"/>
  <c r="CF120" i="1"/>
  <c r="CJ120" i="1"/>
  <c r="CM120" i="1"/>
  <c r="CN120" i="1" s="1"/>
  <c r="AO119" i="1"/>
  <c r="BI121" i="1" l="1"/>
  <c r="BH121" i="1" s="1"/>
  <c r="BG122" i="1" s="1"/>
  <c r="BO124" i="1"/>
  <c r="BL125" i="1"/>
  <c r="BU121" i="1"/>
  <c r="BT121" i="1" s="1"/>
  <c r="AU122" i="1"/>
  <c r="AW122" i="1" s="1"/>
  <c r="AJ119" i="1"/>
  <c r="AK119" i="1" s="1"/>
  <c r="AP119" i="1" s="1"/>
  <c r="CG120" i="1"/>
  <c r="CD121" i="1"/>
  <c r="AA121" i="1"/>
  <c r="E121" i="1"/>
  <c r="T122" i="1"/>
  <c r="AM120" i="1"/>
  <c r="AN120" i="1"/>
  <c r="AL121" i="1" s="1"/>
  <c r="BN125" i="1" l="1"/>
  <c r="BM125" i="1"/>
  <c r="BS121" i="1"/>
  <c r="N122" i="1"/>
  <c r="AV122" i="1"/>
  <c r="AS123" i="1" s="1"/>
  <c r="AZ123" i="1" s="1"/>
  <c r="BB123" i="1" s="1"/>
  <c r="BC123" i="1" s="1"/>
  <c r="U122" i="1"/>
  <c r="AH120" i="1"/>
  <c r="AI120" i="1"/>
  <c r="AG121" i="1" s="1"/>
  <c r="F121" i="1"/>
  <c r="AO120" i="1"/>
  <c r="AD121" i="1" l="1"/>
  <c r="AE121" i="1" s="1"/>
  <c r="BO125" i="1"/>
  <c r="BL126" i="1"/>
  <c r="V122" i="1"/>
  <c r="O123" i="1" s="1"/>
  <c r="BJ122" i="1"/>
  <c r="BI122" i="1" s="1"/>
  <c r="BH122" i="1" s="1"/>
  <c r="BG123" i="1" s="1"/>
  <c r="G122" i="1"/>
  <c r="AT123" i="1"/>
  <c r="AU123" i="1" s="1"/>
  <c r="AW123" i="1" s="1"/>
  <c r="AJ120" i="1"/>
  <c r="AK120" i="1" s="1"/>
  <c r="AP120" i="1" s="1"/>
  <c r="Y122" i="1"/>
  <c r="Z122" i="1" s="1"/>
  <c r="CM121" i="1"/>
  <c r="CN121" i="1" s="1"/>
  <c r="CF121" i="1"/>
  <c r="H121" i="1"/>
  <c r="J121" i="1" s="1"/>
  <c r="BV121" i="1"/>
  <c r="BR122" i="1" s="1"/>
  <c r="CB121" i="1"/>
  <c r="BX122" i="1" s="1"/>
  <c r="CJ121" i="1"/>
  <c r="AN121" i="1"/>
  <c r="AL122" i="1" s="1"/>
  <c r="AM121" i="1"/>
  <c r="BN126" i="1" l="1"/>
  <c r="BM126" i="1"/>
  <c r="BU122" i="1"/>
  <c r="AV123" i="1"/>
  <c r="AS124" i="1" s="1"/>
  <c r="AZ124" i="1" s="1"/>
  <c r="BB124" i="1" s="1"/>
  <c r="BC124" i="1" s="1"/>
  <c r="AI121" i="1"/>
  <c r="AG122" i="1" s="1"/>
  <c r="AH121" i="1"/>
  <c r="BY122" i="1"/>
  <c r="CE122" i="1"/>
  <c r="BZ122" i="1"/>
  <c r="CG121" i="1"/>
  <c r="CD122" i="1"/>
  <c r="AA122" i="1"/>
  <c r="N123" i="1" s="1"/>
  <c r="E122" i="1"/>
  <c r="T123" i="1"/>
  <c r="AO121" i="1"/>
  <c r="CA122" i="1" l="1"/>
  <c r="BO126" i="1"/>
  <c r="BL127" i="1"/>
  <c r="BT122" i="1"/>
  <c r="BS122" i="1" s="1"/>
  <c r="AT124" i="1"/>
  <c r="AU124" i="1" s="1"/>
  <c r="AV124" i="1" s="1"/>
  <c r="AS125" i="1" s="1"/>
  <c r="U123" i="1"/>
  <c r="AJ121" i="1"/>
  <c r="AK121" i="1" s="1"/>
  <c r="AP121" i="1" s="1"/>
  <c r="F122" i="1"/>
  <c r="Y123" i="1"/>
  <c r="Z123" i="1" s="1"/>
  <c r="AN122" i="1"/>
  <c r="AL123" i="1" s="1"/>
  <c r="AM122" i="1"/>
  <c r="AD122" i="1" l="1"/>
  <c r="AE122" i="1" s="1"/>
  <c r="AW124" i="1"/>
  <c r="BN127" i="1"/>
  <c r="BM127" i="1"/>
  <c r="V123" i="1"/>
  <c r="O124" i="1" s="1"/>
  <c r="T124" i="1" s="1"/>
  <c r="BJ123" i="1"/>
  <c r="BI123" i="1" s="1"/>
  <c r="G123" i="1"/>
  <c r="AH122" i="1"/>
  <c r="AI122" i="1"/>
  <c r="AG123" i="1" s="1"/>
  <c r="E123" i="1"/>
  <c r="AA123" i="1"/>
  <c r="N124" i="1" s="1"/>
  <c r="CJ122" i="1"/>
  <c r="CB122" i="1"/>
  <c r="BX123" i="1" s="1"/>
  <c r="CF122" i="1"/>
  <c r="CM122" i="1"/>
  <c r="CN122" i="1" s="1"/>
  <c r="H122" i="1"/>
  <c r="J122" i="1" s="1"/>
  <c r="BV122" i="1"/>
  <c r="BR123" i="1" s="1"/>
  <c r="AT125" i="1"/>
  <c r="AU125" i="1" s="1"/>
  <c r="AZ125" i="1"/>
  <c r="BB125" i="1" s="1"/>
  <c r="BC125" i="1" s="1"/>
  <c r="AO122" i="1"/>
  <c r="BO127" i="1" l="1"/>
  <c r="BL128" i="1"/>
  <c r="BU123" i="1"/>
  <c r="BH123" i="1"/>
  <c r="BG124" i="1" s="1"/>
  <c r="U124" i="1"/>
  <c r="V124" i="1" s="1"/>
  <c r="O125" i="1" s="1"/>
  <c r="AJ122" i="1"/>
  <c r="AK122" i="1" s="1"/>
  <c r="AP122" i="1" s="1"/>
  <c r="CG122" i="1"/>
  <c r="CD123" i="1"/>
  <c r="CE123" i="1"/>
  <c r="BY123" i="1"/>
  <c r="BZ123" i="1"/>
  <c r="AW125" i="1"/>
  <c r="AV125" i="1"/>
  <c r="Y124" i="1"/>
  <c r="Z124" i="1" s="1"/>
  <c r="F123" i="1"/>
  <c r="AM123" i="1"/>
  <c r="AN123" i="1"/>
  <c r="AL124" i="1" s="1"/>
  <c r="AD123" i="1" l="1"/>
  <c r="AE123" i="1" s="1"/>
  <c r="BJ124" i="1"/>
  <c r="BI124" i="1" s="1"/>
  <c r="BH124" i="1" s="1"/>
  <c r="BG125" i="1" s="1"/>
  <c r="G124" i="1"/>
  <c r="BM128" i="1"/>
  <c r="BN128" i="1"/>
  <c r="BT123" i="1"/>
  <c r="BS123" i="1" s="1"/>
  <c r="AH123" i="1"/>
  <c r="AI123" i="1"/>
  <c r="AG124" i="1" s="1"/>
  <c r="CA123" i="1"/>
  <c r="CB123" i="1" s="1"/>
  <c r="BX124" i="1" s="1"/>
  <c r="CM123" i="1"/>
  <c r="CN123" i="1" s="1"/>
  <c r="CJ123" i="1"/>
  <c r="CF123" i="1"/>
  <c r="H123" i="1"/>
  <c r="J123" i="1" s="1"/>
  <c r="BV123" i="1"/>
  <c r="AA124" i="1"/>
  <c r="N125" i="1" s="1"/>
  <c r="E124" i="1"/>
  <c r="AS126" i="1"/>
  <c r="T125" i="1"/>
  <c r="AO123" i="1"/>
  <c r="BO128" i="1" l="1"/>
  <c r="BL129" i="1"/>
  <c r="BR124" i="1"/>
  <c r="BU124" i="1" s="1"/>
  <c r="U125" i="1"/>
  <c r="V125" i="1" s="1"/>
  <c r="O126" i="1" s="1"/>
  <c r="AJ123" i="1"/>
  <c r="AK123" i="1" s="1"/>
  <c r="AP123" i="1" s="1"/>
  <c r="F124" i="1"/>
  <c r="Y125" i="1"/>
  <c r="Z125" i="1" s="1"/>
  <c r="AT126" i="1"/>
  <c r="AU126" i="1" s="1"/>
  <c r="AZ126" i="1"/>
  <c r="BB126" i="1" s="1"/>
  <c r="BC126" i="1" s="1"/>
  <c r="CE124" i="1"/>
  <c r="BY124" i="1"/>
  <c r="BZ124" i="1"/>
  <c r="CG123" i="1"/>
  <c r="CD124" i="1"/>
  <c r="AM124" i="1"/>
  <c r="AN124" i="1"/>
  <c r="AL125" i="1" s="1"/>
  <c r="G125" i="1" l="1"/>
  <c r="BM129" i="1"/>
  <c r="BN129" i="1"/>
  <c r="AD124" i="1"/>
  <c r="AE124" i="1" s="1"/>
  <c r="BJ125" i="1"/>
  <c r="BI125" i="1" s="1"/>
  <c r="BH125" i="1" s="1"/>
  <c r="BG126" i="1" s="1"/>
  <c r="BT124" i="1"/>
  <c r="BS124" i="1" s="1"/>
  <c r="CA124" i="1"/>
  <c r="CB124" i="1" s="1"/>
  <c r="BX125" i="1" s="1"/>
  <c r="BZ125" i="1" s="1"/>
  <c r="AH124" i="1"/>
  <c r="AI124" i="1"/>
  <c r="AW126" i="1"/>
  <c r="AV126" i="1"/>
  <c r="E125" i="1"/>
  <c r="AA125" i="1"/>
  <c r="N126" i="1" s="1"/>
  <c r="T126" i="1"/>
  <c r="U126" i="1" s="1"/>
  <c r="CF124" i="1"/>
  <c r="CJ124" i="1"/>
  <c r="CM124" i="1"/>
  <c r="CN124" i="1" s="1"/>
  <c r="BV124" i="1"/>
  <c r="H124" i="1"/>
  <c r="J124" i="1" s="1"/>
  <c r="AO124" i="1"/>
  <c r="BJ126" i="1" l="1"/>
  <c r="BO129" i="1"/>
  <c r="BL130" i="1"/>
  <c r="BR125" i="1"/>
  <c r="BU125" i="1" s="1"/>
  <c r="BT125" i="1" s="1"/>
  <c r="AG125" i="1"/>
  <c r="G126" i="1"/>
  <c r="V126" i="1"/>
  <c r="O127" i="1" s="1"/>
  <c r="T127" i="1" s="1"/>
  <c r="BY125" i="1"/>
  <c r="CA125" i="1" s="1"/>
  <c r="CE125" i="1"/>
  <c r="AJ124" i="1"/>
  <c r="AK124" i="1" s="1"/>
  <c r="AP124" i="1" s="1"/>
  <c r="AS127" i="1"/>
  <c r="Y126" i="1"/>
  <c r="Z126" i="1" s="1"/>
  <c r="CG124" i="1"/>
  <c r="CD125" i="1"/>
  <c r="F125" i="1"/>
  <c r="AN125" i="1"/>
  <c r="AL126" i="1" s="1"/>
  <c r="AM125" i="1"/>
  <c r="AD125" i="1" l="1"/>
  <c r="AE125" i="1" s="1"/>
  <c r="BN130" i="1"/>
  <c r="BM130" i="1"/>
  <c r="BS125" i="1"/>
  <c r="U127" i="1"/>
  <c r="V127" i="1" s="1"/>
  <c r="O128" i="1" s="1"/>
  <c r="AI125" i="1"/>
  <c r="AH125" i="1"/>
  <c r="BI126" i="1"/>
  <c r="BH126" i="1" s="1"/>
  <c r="BG127" i="1" s="1"/>
  <c r="AA126" i="1"/>
  <c r="N127" i="1" s="1"/>
  <c r="E126" i="1"/>
  <c r="CJ125" i="1"/>
  <c r="CF125" i="1"/>
  <c r="CM125" i="1"/>
  <c r="CN125" i="1" s="1"/>
  <c r="H125" i="1"/>
  <c r="J125" i="1" s="1"/>
  <c r="BV125" i="1"/>
  <c r="AZ127" i="1"/>
  <c r="BB127" i="1" s="1"/>
  <c r="BC127" i="1" s="1"/>
  <c r="AT127" i="1"/>
  <c r="AU127" i="1" s="1"/>
  <c r="CB125" i="1"/>
  <c r="BX126" i="1" s="1"/>
  <c r="AO125" i="1"/>
  <c r="BR126" i="1" l="1"/>
  <c r="BU126" i="1" s="1"/>
  <c r="BT126" i="1" s="1"/>
  <c r="BS126" i="1" s="1"/>
  <c r="BJ127" i="1"/>
  <c r="BI127" i="1" s="1"/>
  <c r="BO130" i="1"/>
  <c r="BL131" i="1"/>
  <c r="AG126" i="1"/>
  <c r="AI126" i="1" s="1"/>
  <c r="AG127" i="1" s="1"/>
  <c r="AJ125" i="1"/>
  <c r="AK125" i="1" s="1"/>
  <c r="AP125" i="1" s="1"/>
  <c r="T128" i="1"/>
  <c r="U128" i="1" s="1"/>
  <c r="G127" i="1"/>
  <c r="CD126" i="1"/>
  <c r="CG125" i="1"/>
  <c r="F126" i="1"/>
  <c r="Y127" i="1"/>
  <c r="Z127" i="1" s="1"/>
  <c r="BZ126" i="1"/>
  <c r="BY126" i="1"/>
  <c r="CE126" i="1"/>
  <c r="AM126" i="1"/>
  <c r="AN126" i="1"/>
  <c r="AL127" i="1" s="1"/>
  <c r="AV127" i="1"/>
  <c r="AW127" i="1"/>
  <c r="AH127" i="1" l="1"/>
  <c r="AI127" i="1"/>
  <c r="AG128" i="1" s="1"/>
  <c r="AD126" i="1"/>
  <c r="AE126" i="1" s="1"/>
  <c r="BN131" i="1"/>
  <c r="BM131" i="1"/>
  <c r="AH126" i="1"/>
  <c r="AJ126" i="1" s="1"/>
  <c r="AK126" i="1" s="1"/>
  <c r="G128" i="1"/>
  <c r="V128" i="1"/>
  <c r="O129" i="1" s="1"/>
  <c r="BH127" i="1"/>
  <c r="CF126" i="1"/>
  <c r="CJ126" i="1"/>
  <c r="CM126" i="1"/>
  <c r="CN126" i="1" s="1"/>
  <c r="H126" i="1"/>
  <c r="J126" i="1" s="1"/>
  <c r="BV126" i="1"/>
  <c r="CA126" i="1"/>
  <c r="CB126" i="1" s="1"/>
  <c r="BX127" i="1" s="1"/>
  <c r="AS128" i="1"/>
  <c r="AO126" i="1"/>
  <c r="E127" i="1"/>
  <c r="AA127" i="1"/>
  <c r="N128" i="1" s="1"/>
  <c r="BO131" i="1" l="1"/>
  <c r="BL132" i="1"/>
  <c r="AH128" i="1"/>
  <c r="AI128" i="1"/>
  <c r="AG129" i="1" s="1"/>
  <c r="AP126" i="1"/>
  <c r="AJ127" i="1"/>
  <c r="AK127" i="1" s="1"/>
  <c r="BG128" i="1"/>
  <c r="BJ128" i="1" s="1"/>
  <c r="T129" i="1"/>
  <c r="BY127" i="1"/>
  <c r="BZ127" i="1"/>
  <c r="CE127" i="1"/>
  <c r="BR127" i="1"/>
  <c r="BU127" i="1" s="1"/>
  <c r="AT128" i="1"/>
  <c r="AU128" i="1" s="1"/>
  <c r="AZ128" i="1"/>
  <c r="BB128" i="1" s="1"/>
  <c r="BC128" i="1" s="1"/>
  <c r="Y128" i="1"/>
  <c r="Z128" i="1" s="1"/>
  <c r="AN127" i="1"/>
  <c r="AL128" i="1" s="1"/>
  <c r="AM127" i="1"/>
  <c r="CG126" i="1"/>
  <c r="CD127" i="1"/>
  <c r="F127" i="1"/>
  <c r="AH129" i="1" l="1"/>
  <c r="AI129" i="1"/>
  <c r="AJ128" i="1"/>
  <c r="AK128" i="1" s="1"/>
  <c r="AD127" i="1"/>
  <c r="AE127" i="1" s="1"/>
  <c r="BN132" i="1"/>
  <c r="BM132" i="1"/>
  <c r="BI128" i="1"/>
  <c r="BH128" i="1" s="1"/>
  <c r="BG129" i="1" s="1"/>
  <c r="U129" i="1"/>
  <c r="V129" i="1" s="1"/>
  <c r="O130" i="1" s="1"/>
  <c r="U130" i="1" s="1"/>
  <c r="CA127" i="1"/>
  <c r="CB127" i="1" s="1"/>
  <c r="BX128" i="1" s="1"/>
  <c r="BT127" i="1"/>
  <c r="BS127" i="1" s="1"/>
  <c r="AO127" i="1"/>
  <c r="AP127" i="1" s="1"/>
  <c r="AA128" i="1"/>
  <c r="E128" i="1"/>
  <c r="AV128" i="1"/>
  <c r="AW128" i="1"/>
  <c r="CJ127" i="1"/>
  <c r="CF127" i="1"/>
  <c r="CM127" i="1"/>
  <c r="CN127" i="1" s="1"/>
  <c r="BV127" i="1"/>
  <c r="H127" i="1"/>
  <c r="J127" i="1" s="1"/>
  <c r="AY139" i="1"/>
  <c r="BA139" i="1" s="1"/>
  <c r="BJ129" i="1" l="1"/>
  <c r="BO132" i="1"/>
  <c r="BL133" i="1"/>
  <c r="AG130" i="1"/>
  <c r="AJ129" i="1"/>
  <c r="AK129" i="1" s="1"/>
  <c r="AY140" i="1"/>
  <c r="BA140" i="1" s="1"/>
  <c r="N129" i="1"/>
  <c r="Z129" i="1" s="1"/>
  <c r="G129" i="1"/>
  <c r="T130" i="1"/>
  <c r="V130" i="1" s="1"/>
  <c r="O131" i="1" s="1"/>
  <c r="U131" i="1" s="1"/>
  <c r="CG127" i="1"/>
  <c r="CD128" i="1"/>
  <c r="AS129" i="1"/>
  <c r="F128" i="1"/>
  <c r="BY128" i="1"/>
  <c r="CE128" i="1"/>
  <c r="BZ128" i="1"/>
  <c r="BR128" i="1"/>
  <c r="BU128" i="1" s="1"/>
  <c r="AN128" i="1"/>
  <c r="AL129" i="1" s="1"/>
  <c r="AM128" i="1"/>
  <c r="Y129" i="1" l="1"/>
  <c r="AA129" i="1" s="1"/>
  <c r="AI130" i="1"/>
  <c r="AH130" i="1"/>
  <c r="AD128" i="1"/>
  <c r="AE128" i="1" s="1"/>
  <c r="BN133" i="1"/>
  <c r="BM133" i="1"/>
  <c r="BI129" i="1"/>
  <c r="BH129" i="1" s="1"/>
  <c r="BG130" i="1" s="1"/>
  <c r="BJ130" i="1" s="1"/>
  <c r="AY141" i="1"/>
  <c r="BA141" i="1" s="1"/>
  <c r="G130" i="1"/>
  <c r="BT128" i="1"/>
  <c r="BS128" i="1" s="1"/>
  <c r="CA128" i="1"/>
  <c r="CB128" i="1" s="1"/>
  <c r="BX129" i="1" s="1"/>
  <c r="AO128" i="1"/>
  <c r="AP128" i="1" s="1"/>
  <c r="CF128" i="1"/>
  <c r="CJ128" i="1"/>
  <c r="CM128" i="1"/>
  <c r="CN128" i="1" s="1"/>
  <c r="BV128" i="1"/>
  <c r="H128" i="1"/>
  <c r="J128" i="1" s="1"/>
  <c r="AT129" i="1"/>
  <c r="AU129" i="1" s="1"/>
  <c r="AZ129" i="1"/>
  <c r="BB129" i="1" s="1"/>
  <c r="BC129" i="1" s="1"/>
  <c r="E129" i="1"/>
  <c r="BO133" i="1" l="1"/>
  <c r="BL134" i="1"/>
  <c r="AG131" i="1"/>
  <c r="AJ130" i="1"/>
  <c r="AK130" i="1" s="1"/>
  <c r="AY142" i="1"/>
  <c r="BA142" i="1" s="1"/>
  <c r="N130" i="1"/>
  <c r="Z130" i="1" s="1"/>
  <c r="T131" i="1"/>
  <c r="V131" i="1" s="1"/>
  <c r="O132" i="1" s="1"/>
  <c r="U132" i="1" s="1"/>
  <c r="BI130" i="1"/>
  <c r="BH130" i="1" s="1"/>
  <c r="BG131" i="1" s="1"/>
  <c r="BJ131" i="1" s="1"/>
  <c r="CG128" i="1"/>
  <c r="CD129" i="1"/>
  <c r="BY129" i="1"/>
  <c r="BZ129" i="1"/>
  <c r="CE129" i="1"/>
  <c r="F129" i="1"/>
  <c r="AW129" i="1"/>
  <c r="AV129" i="1"/>
  <c r="AS130" i="1" s="1"/>
  <c r="BR129" i="1"/>
  <c r="BU129" i="1" s="1"/>
  <c r="AN129" i="1"/>
  <c r="AL130" i="1" s="1"/>
  <c r="AM129" i="1"/>
  <c r="Y130" i="1" l="1"/>
  <c r="AA130" i="1" s="1"/>
  <c r="AD129" i="1"/>
  <c r="AE129" i="1" s="1"/>
  <c r="AH131" i="1"/>
  <c r="AI131" i="1"/>
  <c r="BN134" i="1"/>
  <c r="BM134" i="1"/>
  <c r="AY143" i="1"/>
  <c r="BA143" i="1" s="1"/>
  <c r="AY144" i="1" s="1"/>
  <c r="BA144" i="1" s="1"/>
  <c r="G131" i="1"/>
  <c r="BT129" i="1"/>
  <c r="BS129" i="1" s="1"/>
  <c r="CA129" i="1"/>
  <c r="CB129" i="1" s="1"/>
  <c r="BX130" i="1" s="1"/>
  <c r="AZ130" i="1"/>
  <c r="BB130" i="1" s="1"/>
  <c r="BC130" i="1" s="1"/>
  <c r="AU130" i="1"/>
  <c r="AT130" i="1"/>
  <c r="E130" i="1"/>
  <c r="CF129" i="1"/>
  <c r="CJ129" i="1"/>
  <c r="CM129" i="1"/>
  <c r="CN129" i="1" s="1"/>
  <c r="H129" i="1"/>
  <c r="J129" i="1" s="1"/>
  <c r="BV129" i="1"/>
  <c r="AO129" i="1"/>
  <c r="AP129" i="1" s="1"/>
  <c r="BO134" i="1" l="1"/>
  <c r="BL135" i="1"/>
  <c r="AG132" i="1"/>
  <c r="AJ131" i="1"/>
  <c r="AK131" i="1" s="1"/>
  <c r="AY145" i="1"/>
  <c r="BA145" i="1" s="1"/>
  <c r="N131" i="1"/>
  <c r="Z131" i="1" s="1"/>
  <c r="T132" i="1"/>
  <c r="V132" i="1" s="1"/>
  <c r="O133" i="1" s="1"/>
  <c r="U133" i="1" s="1"/>
  <c r="BI131" i="1"/>
  <c r="BH131" i="1" s="1"/>
  <c r="BG132" i="1" s="1"/>
  <c r="BJ132" i="1" s="1"/>
  <c r="CG129" i="1"/>
  <c r="CD130" i="1"/>
  <c r="F130" i="1"/>
  <c r="BR130" i="1"/>
  <c r="BU130" i="1" s="1"/>
  <c r="AW130" i="1"/>
  <c r="AV130" i="1"/>
  <c r="AS131" i="1" s="1"/>
  <c r="AM130" i="1"/>
  <c r="AN130" i="1"/>
  <c r="AL131" i="1" s="1"/>
  <c r="BZ130" i="1"/>
  <c r="CE130" i="1"/>
  <c r="BY130" i="1"/>
  <c r="Y131" i="1" l="1"/>
  <c r="AA131" i="1" s="1"/>
  <c r="AH132" i="1"/>
  <c r="AI132" i="1"/>
  <c r="AD130" i="1"/>
  <c r="AE130" i="1" s="1"/>
  <c r="BM135" i="1"/>
  <c r="BN135" i="1"/>
  <c r="AY146" i="1"/>
  <c r="BA146" i="1" s="1"/>
  <c r="AY147" i="1" s="1"/>
  <c r="BA147" i="1" s="1"/>
  <c r="AY148" i="1" s="1"/>
  <c r="BA148" i="1" s="1"/>
  <c r="AY149" i="1" s="1"/>
  <c r="BA149" i="1" s="1"/>
  <c r="AY150" i="1" s="1"/>
  <c r="BA150" i="1" s="1"/>
  <c r="AY151" i="1" s="1"/>
  <c r="BA151" i="1" s="1"/>
  <c r="AY152" i="1" s="1"/>
  <c r="BA152" i="1" s="1"/>
  <c r="AY153" i="1" s="1"/>
  <c r="BA153" i="1" s="1"/>
  <c r="AY154" i="1" s="1"/>
  <c r="BA154" i="1" s="1"/>
  <c r="AY155" i="1" s="1"/>
  <c r="BA155" i="1" s="1"/>
  <c r="AY156" i="1" s="1"/>
  <c r="BA156" i="1" s="1"/>
  <c r="AY157" i="1" s="1"/>
  <c r="BA157" i="1" s="1"/>
  <c r="AY158" i="1" s="1"/>
  <c r="BA158" i="1" s="1"/>
  <c r="AY159" i="1" s="1"/>
  <c r="BA159" i="1" s="1"/>
  <c r="AY160" i="1" s="1"/>
  <c r="BA160" i="1" s="1"/>
  <c r="AY161" i="1" s="1"/>
  <c r="BA161" i="1" s="1"/>
  <c r="AY162" i="1" s="1"/>
  <c r="BA162" i="1" s="1"/>
  <c r="G132" i="1"/>
  <c r="BT130" i="1"/>
  <c r="BS130" i="1" s="1"/>
  <c r="CF130" i="1"/>
  <c r="CJ130" i="1"/>
  <c r="CM130" i="1"/>
  <c r="CN130" i="1" s="1"/>
  <c r="BV130" i="1"/>
  <c r="H130" i="1"/>
  <c r="J130" i="1" s="1"/>
  <c r="CA130" i="1"/>
  <c r="CB130" i="1" s="1"/>
  <c r="BX131" i="1" s="1"/>
  <c r="E131" i="1"/>
  <c r="AO130" i="1"/>
  <c r="AP130" i="1" s="1"/>
  <c r="AZ131" i="1"/>
  <c r="AU131" i="1"/>
  <c r="AT131" i="1"/>
  <c r="BO135" i="1" l="1"/>
  <c r="BL136" i="1"/>
  <c r="AG133" i="1"/>
  <c r="AJ132" i="1"/>
  <c r="AK132" i="1" s="1"/>
  <c r="AY163" i="1"/>
  <c r="BA163" i="1" s="1"/>
  <c r="AY164" i="1" s="1"/>
  <c r="BA164" i="1" s="1"/>
  <c r="AY165" i="1" s="1"/>
  <c r="BA165" i="1" s="1"/>
  <c r="AY166" i="1" s="1"/>
  <c r="BA166" i="1" s="1"/>
  <c r="AY167" i="1" s="1"/>
  <c r="BA167" i="1" s="1"/>
  <c r="AY168" i="1" s="1"/>
  <c r="BA168" i="1" s="1"/>
  <c r="AY169" i="1" s="1"/>
  <c r="BA169" i="1" s="1"/>
  <c r="AY170" i="1" s="1"/>
  <c r="BA170" i="1" s="1"/>
  <c r="AY171" i="1" s="1"/>
  <c r="BA171" i="1" s="1"/>
  <c r="AY172" i="1" s="1"/>
  <c r="BA172" i="1" s="1"/>
  <c r="AY173" i="1" s="1"/>
  <c r="BA173" i="1" s="1"/>
  <c r="AY174" i="1" s="1"/>
  <c r="BA174" i="1" s="1"/>
  <c r="AY175" i="1" s="1"/>
  <c r="BA175" i="1" s="1"/>
  <c r="AY176" i="1" s="1"/>
  <c r="BA176" i="1" s="1"/>
  <c r="AY177" i="1" s="1"/>
  <c r="BA177" i="1" s="1"/>
  <c r="AY178" i="1" s="1"/>
  <c r="BA178" i="1" s="1"/>
  <c r="AY179" i="1" s="1"/>
  <c r="BA179" i="1" s="1"/>
  <c r="AY180" i="1" s="1"/>
  <c r="BA180" i="1" s="1"/>
  <c r="AY181" i="1" s="1"/>
  <c r="BA181" i="1" s="1"/>
  <c r="AY182" i="1" s="1"/>
  <c r="BA182" i="1" s="1"/>
  <c r="AY183" i="1" s="1"/>
  <c r="BA183" i="1" s="1"/>
  <c r="AY184" i="1" s="1"/>
  <c r="BA184" i="1" s="1"/>
  <c r="AY185" i="1" s="1"/>
  <c r="BA185" i="1" s="1"/>
  <c r="N132" i="1"/>
  <c r="Z132" i="1" s="1"/>
  <c r="T133" i="1"/>
  <c r="V133" i="1" s="1"/>
  <c r="O134" i="1" s="1"/>
  <c r="U134" i="1" s="1"/>
  <c r="BI132" i="1"/>
  <c r="BH132" i="1" s="1"/>
  <c r="BG133" i="1" s="1"/>
  <c r="BJ133" i="1" s="1"/>
  <c r="BZ131" i="1"/>
  <c r="BY131" i="1"/>
  <c r="CE131" i="1"/>
  <c r="F131" i="1"/>
  <c r="BR131" i="1"/>
  <c r="BU131" i="1" s="1"/>
  <c r="AM131" i="1"/>
  <c r="AN131" i="1"/>
  <c r="AL132" i="1" s="1"/>
  <c r="AV131" i="1"/>
  <c r="AW131" i="1"/>
  <c r="BB131" i="1"/>
  <c r="BC131" i="1" s="1"/>
  <c r="CG130" i="1"/>
  <c r="CD131" i="1"/>
  <c r="AD131" i="1" l="1"/>
  <c r="AE131" i="1" s="1"/>
  <c r="Y132" i="1"/>
  <c r="AA132" i="1" s="1"/>
  <c r="AH133" i="1"/>
  <c r="AI133" i="1"/>
  <c r="BN136" i="1"/>
  <c r="BM136" i="1"/>
  <c r="G133" i="1"/>
  <c r="BT131" i="1"/>
  <c r="BS131" i="1" s="1"/>
  <c r="AS132" i="1"/>
  <c r="AO131" i="1"/>
  <c r="AP131" i="1" s="1"/>
  <c r="CF131" i="1"/>
  <c r="CJ131" i="1"/>
  <c r="CM131" i="1"/>
  <c r="CN131" i="1" s="1"/>
  <c r="BV131" i="1"/>
  <c r="H131" i="1"/>
  <c r="J131" i="1" s="1"/>
  <c r="E132" i="1"/>
  <c r="CA131" i="1"/>
  <c r="CB131" i="1" s="1"/>
  <c r="BX132" i="1" s="1"/>
  <c r="BO136" i="1" l="1"/>
  <c r="BL137" i="1"/>
  <c r="AG134" i="1"/>
  <c r="AJ133" i="1"/>
  <c r="AK133" i="1" s="1"/>
  <c r="N133" i="1"/>
  <c r="Z133" i="1" s="1"/>
  <c r="BI133" i="1"/>
  <c r="BH133" i="1" s="1"/>
  <c r="BG134" i="1" s="1"/>
  <c r="BJ134" i="1" s="1"/>
  <c r="T134" i="1"/>
  <c r="V134" i="1" s="1"/>
  <c r="O135" i="1" s="1"/>
  <c r="U135" i="1" s="1"/>
  <c r="BR132" i="1"/>
  <c r="BU132" i="1" s="1"/>
  <c r="BZ132" i="1"/>
  <c r="CE132" i="1"/>
  <c r="BY132" i="1"/>
  <c r="CG131" i="1"/>
  <c r="CD132" i="1"/>
  <c r="F132" i="1"/>
  <c r="AN132" i="1"/>
  <c r="AL133" i="1" s="1"/>
  <c r="AM132" i="1"/>
  <c r="AT132" i="1"/>
  <c r="AZ132" i="1"/>
  <c r="AU132" i="1"/>
  <c r="AD132" i="1" l="1"/>
  <c r="AE132" i="1" s="1"/>
  <c r="AH134" i="1"/>
  <c r="AI134" i="1"/>
  <c r="Y133" i="1"/>
  <c r="AA133" i="1" s="1"/>
  <c r="N134" i="1" s="1"/>
  <c r="Z134" i="1" s="1"/>
  <c r="BM137" i="1"/>
  <c r="BN137" i="1"/>
  <c r="G134" i="1"/>
  <c r="BT132" i="1"/>
  <c r="BS132" i="1" s="1"/>
  <c r="E133" i="1"/>
  <c r="AO132" i="1"/>
  <c r="AP132" i="1" s="1"/>
  <c r="AW132" i="1"/>
  <c r="AV132" i="1"/>
  <c r="CA132" i="1"/>
  <c r="CB132" i="1" s="1"/>
  <c r="BX133" i="1" s="1"/>
  <c r="BB132" i="1"/>
  <c r="BC132" i="1" s="1"/>
  <c r="CF132" i="1"/>
  <c r="CJ132" i="1"/>
  <c r="CM132" i="1"/>
  <c r="CN132" i="1" s="1"/>
  <c r="BV132" i="1"/>
  <c r="H132" i="1"/>
  <c r="J132" i="1" s="1"/>
  <c r="BO137" i="1" l="1"/>
  <c r="BL138" i="1"/>
  <c r="AG135" i="1"/>
  <c r="AJ134" i="1"/>
  <c r="AK134" i="1" s="1"/>
  <c r="T135" i="1"/>
  <c r="V135" i="1" s="1"/>
  <c r="O136" i="1" s="1"/>
  <c r="U136" i="1" s="1"/>
  <c r="BI134" i="1"/>
  <c r="BH134" i="1" s="1"/>
  <c r="BG135" i="1" s="1"/>
  <c r="BJ135" i="1" s="1"/>
  <c r="AS133" i="1"/>
  <c r="AM133" i="1"/>
  <c r="AN133" i="1"/>
  <c r="AL134" i="1" s="1"/>
  <c r="BZ133" i="1"/>
  <c r="BY133" i="1"/>
  <c r="CE133" i="1"/>
  <c r="BR133" i="1"/>
  <c r="BU133" i="1" s="1"/>
  <c r="CG132" i="1"/>
  <c r="CD133" i="1"/>
  <c r="F133" i="1"/>
  <c r="Y134" i="1"/>
  <c r="AD133" i="1" l="1"/>
  <c r="AE133" i="1" s="1"/>
  <c r="AI135" i="1"/>
  <c r="AH135" i="1"/>
  <c r="BN138" i="1"/>
  <c r="BM138" i="1"/>
  <c r="G135" i="1"/>
  <c r="BT133" i="1"/>
  <c r="BS133" i="1" s="1"/>
  <c r="CF133" i="1"/>
  <c r="CJ133" i="1"/>
  <c r="CM133" i="1"/>
  <c r="CN133" i="1" s="1"/>
  <c r="BV133" i="1"/>
  <c r="H133" i="1"/>
  <c r="J133" i="1" s="1"/>
  <c r="CA133" i="1"/>
  <c r="CB133" i="1" s="1"/>
  <c r="BX134" i="1" s="1"/>
  <c r="AO133" i="1"/>
  <c r="AP133" i="1" s="1"/>
  <c r="AA134" i="1"/>
  <c r="N135" i="1" s="1"/>
  <c r="Z135" i="1" s="1"/>
  <c r="E134" i="1"/>
  <c r="AU133" i="1"/>
  <c r="AZ133" i="1"/>
  <c r="AT133" i="1"/>
  <c r="BO138" i="1" l="1"/>
  <c r="BL139" i="1"/>
  <c r="AG136" i="1"/>
  <c r="AJ135" i="1"/>
  <c r="AK135" i="1" s="1"/>
  <c r="T136" i="1"/>
  <c r="V136" i="1" s="1"/>
  <c r="O137" i="1" s="1"/>
  <c r="U137" i="1" s="1"/>
  <c r="BI135" i="1"/>
  <c r="BH135" i="1" s="1"/>
  <c r="BG136" i="1" s="1"/>
  <c r="BJ136" i="1" s="1"/>
  <c r="CE134" i="1"/>
  <c r="BZ134" i="1"/>
  <c r="BY134" i="1"/>
  <c r="AM134" i="1"/>
  <c r="AN134" i="1"/>
  <c r="AL135" i="1" s="1"/>
  <c r="CG133" i="1"/>
  <c r="CD134" i="1"/>
  <c r="Y135" i="1"/>
  <c r="AV133" i="1"/>
  <c r="AW133" i="1"/>
  <c r="F134" i="1"/>
  <c r="BB133" i="1"/>
  <c r="BC133" i="1" s="1"/>
  <c r="BR134" i="1"/>
  <c r="BU134" i="1" s="1"/>
  <c r="AD134" i="1" l="1"/>
  <c r="AE134" i="1" s="1"/>
  <c r="AH136" i="1"/>
  <c r="AI136" i="1"/>
  <c r="BN139" i="1"/>
  <c r="BM139" i="1"/>
  <c r="G136" i="1"/>
  <c r="BT134" i="1"/>
  <c r="BS134" i="1" s="1"/>
  <c r="AO134" i="1"/>
  <c r="AP134" i="1" s="1"/>
  <c r="CJ134" i="1"/>
  <c r="CF134" i="1"/>
  <c r="CM134" i="1"/>
  <c r="CN134" i="1" s="1"/>
  <c r="BV134" i="1"/>
  <c r="H134" i="1"/>
  <c r="J134" i="1" s="1"/>
  <c r="AS134" i="1"/>
  <c r="AA135" i="1"/>
  <c r="N136" i="1" s="1"/>
  <c r="Z136" i="1" s="1"/>
  <c r="E135" i="1"/>
  <c r="CA134" i="1"/>
  <c r="CB134" i="1" s="1"/>
  <c r="BX135" i="1" s="1"/>
  <c r="BO139" i="1" l="1"/>
  <c r="BL140" i="1"/>
  <c r="AG137" i="1"/>
  <c r="AJ136" i="1"/>
  <c r="AK136" i="1" s="1"/>
  <c r="T137" i="1"/>
  <c r="V137" i="1" s="1"/>
  <c r="O138" i="1" s="1"/>
  <c r="BI136" i="1"/>
  <c r="BH136" i="1" s="1"/>
  <c r="BG137" i="1" s="1"/>
  <c r="BJ137" i="1" s="1"/>
  <c r="BY135" i="1"/>
  <c r="BZ135" i="1"/>
  <c r="CE135" i="1"/>
  <c r="BR135" i="1"/>
  <c r="BU135" i="1" s="1"/>
  <c r="CG134" i="1"/>
  <c r="CD135" i="1"/>
  <c r="AN135" i="1"/>
  <c r="AL136" i="1" s="1"/>
  <c r="AM135" i="1"/>
  <c r="Y136" i="1"/>
  <c r="F135" i="1"/>
  <c r="AZ134" i="1"/>
  <c r="AT134" i="1"/>
  <c r="AU134" i="1"/>
  <c r="AD135" i="1" l="1"/>
  <c r="AE135" i="1" s="1"/>
  <c r="AI137" i="1"/>
  <c r="AH137" i="1"/>
  <c r="BM140" i="1"/>
  <c r="BN140" i="1"/>
  <c r="U138" i="1"/>
  <c r="T138" i="1"/>
  <c r="CA135" i="1"/>
  <c r="CB135" i="1" s="1"/>
  <c r="BX136" i="1" s="1"/>
  <c r="G137" i="1"/>
  <c r="BT135" i="1"/>
  <c r="BS135" i="1" s="1"/>
  <c r="AV134" i="1"/>
  <c r="AW134" i="1"/>
  <c r="CF135" i="1"/>
  <c r="CJ135" i="1"/>
  <c r="CM135" i="1"/>
  <c r="CN135" i="1" s="1"/>
  <c r="BV135" i="1"/>
  <c r="H135" i="1"/>
  <c r="J135" i="1" s="1"/>
  <c r="BB134" i="1"/>
  <c r="BC134" i="1" s="1"/>
  <c r="AO135" i="1"/>
  <c r="AP135" i="1" s="1"/>
  <c r="AA136" i="1"/>
  <c r="N137" i="1" s="1"/>
  <c r="Z137" i="1" s="1"/>
  <c r="E136" i="1"/>
  <c r="BO140" i="1" l="1"/>
  <c r="BL141" i="1"/>
  <c r="AG138" i="1"/>
  <c r="AJ137" i="1"/>
  <c r="AK137" i="1" s="1"/>
  <c r="V138" i="1"/>
  <c r="O139" i="1" s="1"/>
  <c r="G138" i="1"/>
  <c r="BI137" i="1"/>
  <c r="BH137" i="1" s="1"/>
  <c r="Y137" i="1"/>
  <c r="AS135" i="1"/>
  <c r="CG135" i="1"/>
  <c r="CD136" i="1"/>
  <c r="BY136" i="1"/>
  <c r="CE136" i="1"/>
  <c r="BZ136" i="1"/>
  <c r="AN136" i="1"/>
  <c r="AL137" i="1" s="1"/>
  <c r="AM136" i="1"/>
  <c r="BR136" i="1"/>
  <c r="BU136" i="1" s="1"/>
  <c r="F136" i="1"/>
  <c r="AD136" i="1" l="1"/>
  <c r="AE136" i="1" s="1"/>
  <c r="AI138" i="1"/>
  <c r="AH138" i="1"/>
  <c r="BN141" i="1"/>
  <c r="BM141" i="1"/>
  <c r="BG138" i="1"/>
  <c r="BJ138" i="1" s="1"/>
  <c r="U139" i="1"/>
  <c r="G139" i="1" s="1"/>
  <c r="T139" i="1"/>
  <c r="CA136" i="1"/>
  <c r="CB136" i="1" s="1"/>
  <c r="BX137" i="1" s="1"/>
  <c r="BZ137" i="1" s="1"/>
  <c r="BT136" i="1"/>
  <c r="BS136" i="1" s="1"/>
  <c r="AT135" i="1"/>
  <c r="AU135" i="1"/>
  <c r="AZ135" i="1"/>
  <c r="AA137" i="1"/>
  <c r="N138" i="1" s="1"/>
  <c r="E137" i="1"/>
  <c r="AO136" i="1"/>
  <c r="AP136" i="1" s="1"/>
  <c r="CJ136" i="1"/>
  <c r="CF136" i="1"/>
  <c r="CM136" i="1"/>
  <c r="CN136" i="1" s="1"/>
  <c r="BV136" i="1"/>
  <c r="H136" i="1"/>
  <c r="J136" i="1" s="1"/>
  <c r="BO141" i="1" l="1"/>
  <c r="BL142" i="1"/>
  <c r="AG139" i="1"/>
  <c r="AJ138" i="1"/>
  <c r="AK138" i="1" s="1"/>
  <c r="BI138" i="1"/>
  <c r="BH138" i="1" s="1"/>
  <c r="Y138" i="1"/>
  <c r="Z138" i="1"/>
  <c r="E138" i="1" s="1"/>
  <c r="CE137" i="1"/>
  <c r="BY137" i="1"/>
  <c r="CA137" i="1" s="1"/>
  <c r="V139" i="1"/>
  <c r="O140" i="1" s="1"/>
  <c r="CG136" i="1"/>
  <c r="CD137" i="1"/>
  <c r="AN137" i="1"/>
  <c r="AL138" i="1" s="1"/>
  <c r="AM137" i="1"/>
  <c r="BB135" i="1"/>
  <c r="BC135" i="1" s="1"/>
  <c r="AV135" i="1"/>
  <c r="AW135" i="1"/>
  <c r="F137" i="1"/>
  <c r="BR137" i="1"/>
  <c r="BU137" i="1" s="1"/>
  <c r="AD137" i="1" l="1"/>
  <c r="AE137" i="1" s="1"/>
  <c r="AH139" i="1"/>
  <c r="AI139" i="1"/>
  <c r="BN142" i="1"/>
  <c r="BM142" i="1"/>
  <c r="BG139" i="1"/>
  <c r="BJ139" i="1" s="1"/>
  <c r="AA138" i="1"/>
  <c r="N139" i="1" s="1"/>
  <c r="U140" i="1"/>
  <c r="T140" i="1"/>
  <c r="BT137" i="1"/>
  <c r="BS137" i="1" s="1"/>
  <c r="F138" i="1"/>
  <c r="AS136" i="1"/>
  <c r="CB137" i="1"/>
  <c r="BX138" i="1" s="1"/>
  <c r="AO137" i="1"/>
  <c r="CJ137" i="1"/>
  <c r="CF137" i="1"/>
  <c r="CM137" i="1"/>
  <c r="CN137" i="1" s="1"/>
  <c r="BV137" i="1"/>
  <c r="H137" i="1"/>
  <c r="J137" i="1" s="1"/>
  <c r="AD138" i="1" l="1"/>
  <c r="AE138" i="1" s="1"/>
  <c r="BO142" i="1"/>
  <c r="BL143" i="1"/>
  <c r="AJ139" i="1"/>
  <c r="AK139" i="1" s="1"/>
  <c r="AG140" i="1"/>
  <c r="BI139" i="1"/>
  <c r="BH139" i="1" s="1"/>
  <c r="BG140" i="1" s="1"/>
  <c r="BJ140" i="1" s="1"/>
  <c r="Y139" i="1"/>
  <c r="Z139" i="1"/>
  <c r="BZ138" i="1"/>
  <c r="CE138" i="1"/>
  <c r="BY138" i="1"/>
  <c r="AM138" i="1"/>
  <c r="AN138" i="1"/>
  <c r="AL139" i="1" s="1"/>
  <c r="AM139" i="1" s="1"/>
  <c r="V140" i="1"/>
  <c r="O141" i="1" s="1"/>
  <c r="G140" i="1"/>
  <c r="BR138" i="1"/>
  <c r="CG137" i="1"/>
  <c r="CD138" i="1"/>
  <c r="AP137" i="1"/>
  <c r="AT136" i="1"/>
  <c r="AZ136" i="1"/>
  <c r="BB136" i="1" s="1"/>
  <c r="BC136" i="1" s="1"/>
  <c r="AU136" i="1"/>
  <c r="CJ138" i="1"/>
  <c r="CM138" i="1"/>
  <c r="CN138" i="1" s="1"/>
  <c r="CF138" i="1"/>
  <c r="H138" i="1"/>
  <c r="J138" i="1" s="1"/>
  <c r="AH140" i="1" l="1"/>
  <c r="AI140" i="1"/>
  <c r="AN139" i="1"/>
  <c r="AO139" i="1" s="1"/>
  <c r="AP139" i="1" s="1"/>
  <c r="BN143" i="1"/>
  <c r="BM143" i="1"/>
  <c r="BU138" i="1"/>
  <c r="BV138" i="1" s="1"/>
  <c r="AL140" i="1"/>
  <c r="AA139" i="1"/>
  <c r="N140" i="1" s="1"/>
  <c r="E139" i="1"/>
  <c r="F139" i="1" s="1"/>
  <c r="CA138" i="1"/>
  <c r="CB138" i="1" s="1"/>
  <c r="BX139" i="1" s="1"/>
  <c r="BY139" i="1" s="1"/>
  <c r="U141" i="1"/>
  <c r="T141" i="1"/>
  <c r="AO138" i="1"/>
  <c r="AP138" i="1" s="1"/>
  <c r="BI140" i="1"/>
  <c r="BH140" i="1" s="1"/>
  <c r="BG141" i="1" s="1"/>
  <c r="CG138" i="1"/>
  <c r="CD139" i="1"/>
  <c r="AV136" i="1"/>
  <c r="AS137" i="1" s="1"/>
  <c r="AW136" i="1"/>
  <c r="AD139" i="1" l="1"/>
  <c r="AE139" i="1" s="1"/>
  <c r="CF139" i="1"/>
  <c r="H139" i="1"/>
  <c r="J139" i="1" s="1"/>
  <c r="CJ139" i="1"/>
  <c r="CM139" i="1"/>
  <c r="CN139" i="1" s="1"/>
  <c r="BO143" i="1"/>
  <c r="BL144" i="1"/>
  <c r="AJ140" i="1"/>
  <c r="AK140" i="1" s="1"/>
  <c r="AG141" i="1"/>
  <c r="BJ141" i="1"/>
  <c r="BT138" i="1"/>
  <c r="BS138" i="1" s="1"/>
  <c r="BR139" i="1" s="1"/>
  <c r="BU139" i="1" s="1"/>
  <c r="BV139" i="1" s="1"/>
  <c r="AN140" i="1"/>
  <c r="AM140" i="1"/>
  <c r="CE139" i="1"/>
  <c r="BZ139" i="1"/>
  <c r="CA139" i="1" s="1"/>
  <c r="CB139" i="1" s="1"/>
  <c r="BX140" i="1" s="1"/>
  <c r="CE140" i="1" s="1"/>
  <c r="Y140" i="1"/>
  <c r="Z140" i="1"/>
  <c r="V141" i="1"/>
  <c r="O142" i="1" s="1"/>
  <c r="G141" i="1"/>
  <c r="AU137" i="1"/>
  <c r="AT137" i="1"/>
  <c r="AZ137" i="1"/>
  <c r="CG139" i="1" l="1"/>
  <c r="AH141" i="1"/>
  <c r="AI141" i="1"/>
  <c r="BM144" i="1"/>
  <c r="BN144" i="1"/>
  <c r="CD140" i="1"/>
  <c r="BT139" i="1"/>
  <c r="BS139" i="1" s="1"/>
  <c r="AO140" i="1"/>
  <c r="AP140" i="1" s="1"/>
  <c r="AL141" i="1"/>
  <c r="BY140" i="1"/>
  <c r="AA140" i="1"/>
  <c r="N141" i="1" s="1"/>
  <c r="E140" i="1"/>
  <c r="F140" i="1" s="1"/>
  <c r="AD140" i="1" s="1"/>
  <c r="BZ140" i="1"/>
  <c r="BI141" i="1"/>
  <c r="BH141" i="1" s="1"/>
  <c r="BG142" i="1" s="1"/>
  <c r="U142" i="1"/>
  <c r="T142" i="1"/>
  <c r="BB137" i="1"/>
  <c r="BC137" i="1" s="1"/>
  <c r="AW137" i="1"/>
  <c r="AV137" i="1"/>
  <c r="BO144" i="1" l="1"/>
  <c r="BL145" i="1"/>
  <c r="BJ142" i="1"/>
  <c r="AJ141" i="1"/>
  <c r="AK141" i="1" s="1"/>
  <c r="AG142" i="1"/>
  <c r="BR140" i="1"/>
  <c r="BU140" i="1" s="1"/>
  <c r="BV140" i="1" s="1"/>
  <c r="CA140" i="1"/>
  <c r="CB140" i="1" s="1"/>
  <c r="BX141" i="1" s="1"/>
  <c r="BY141" i="1" s="1"/>
  <c r="AN141" i="1"/>
  <c r="AM141" i="1"/>
  <c r="AE140" i="1"/>
  <c r="CF140" i="1"/>
  <c r="CM140" i="1"/>
  <c r="CN140" i="1" s="1"/>
  <c r="CJ140" i="1"/>
  <c r="H140" i="1"/>
  <c r="J140" i="1" s="1"/>
  <c r="Y141" i="1"/>
  <c r="Z141" i="1"/>
  <c r="G142" i="1"/>
  <c r="V142" i="1"/>
  <c r="O143" i="1" s="1"/>
  <c r="AS138" i="1"/>
  <c r="AI142" i="1" l="1"/>
  <c r="AH142" i="1"/>
  <c r="BM145" i="1"/>
  <c r="BN145" i="1"/>
  <c r="CE141" i="1"/>
  <c r="BZ141" i="1"/>
  <c r="CA141" i="1" s="1"/>
  <c r="BT140" i="1"/>
  <c r="BS140" i="1" s="1"/>
  <c r="AL142" i="1"/>
  <c r="AO141" i="1"/>
  <c r="AP141" i="1" s="1"/>
  <c r="E141" i="1"/>
  <c r="F141" i="1" s="1"/>
  <c r="AD141" i="1" s="1"/>
  <c r="AA141" i="1"/>
  <c r="N142" i="1" s="1"/>
  <c r="CG140" i="1"/>
  <c r="CD141" i="1"/>
  <c r="U143" i="1"/>
  <c r="T143" i="1"/>
  <c r="BI142" i="1"/>
  <c r="BH142" i="1" s="1"/>
  <c r="BG143" i="1" s="1"/>
  <c r="AU138" i="1"/>
  <c r="AT138" i="1"/>
  <c r="AZ138" i="1"/>
  <c r="BB138" i="1" s="1"/>
  <c r="BC138" i="1" s="1"/>
  <c r="BJ143" i="1" l="1"/>
  <c r="BO145" i="1"/>
  <c r="BL146" i="1"/>
  <c r="AG143" i="1"/>
  <c r="AJ142" i="1"/>
  <c r="AK142" i="1" s="1"/>
  <c r="BR141" i="1"/>
  <c r="BU141" i="1" s="1"/>
  <c r="BV141" i="1" s="1"/>
  <c r="AM142" i="1"/>
  <c r="AN142" i="1"/>
  <c r="Y142" i="1"/>
  <c r="Z142" i="1"/>
  <c r="AE141" i="1"/>
  <c r="CJ141" i="1"/>
  <c r="CB141" i="1"/>
  <c r="BX142" i="1" s="1"/>
  <c r="CM141" i="1"/>
  <c r="CN141" i="1" s="1"/>
  <c r="H141" i="1"/>
  <c r="J141" i="1" s="1"/>
  <c r="CF141" i="1"/>
  <c r="V143" i="1"/>
  <c r="O144" i="1" s="1"/>
  <c r="G143" i="1"/>
  <c r="AW138" i="1"/>
  <c r="AV138" i="1"/>
  <c r="AH143" i="1" l="1"/>
  <c r="AI143" i="1"/>
  <c r="BN146" i="1"/>
  <c r="BM146" i="1"/>
  <c r="BT141" i="1"/>
  <c r="BS141" i="1" s="1"/>
  <c r="BR142" i="1" s="1"/>
  <c r="BU142" i="1" s="1"/>
  <c r="AS139" i="1"/>
  <c r="AL143" i="1"/>
  <c r="AO142" i="1"/>
  <c r="AP142" i="1" s="1"/>
  <c r="CG141" i="1"/>
  <c r="CD142" i="1"/>
  <c r="BY142" i="1"/>
  <c r="BZ142" i="1"/>
  <c r="CE142" i="1"/>
  <c r="AA142" i="1"/>
  <c r="N143" i="1" s="1"/>
  <c r="E142" i="1"/>
  <c r="F142" i="1" s="1"/>
  <c r="AD142" i="1" s="1"/>
  <c r="U144" i="1"/>
  <c r="T144" i="1"/>
  <c r="BI143" i="1"/>
  <c r="BH143" i="1" s="1"/>
  <c r="BG144" i="1" s="1"/>
  <c r="BJ144" i="1" l="1"/>
  <c r="BO146" i="1"/>
  <c r="BL147" i="1"/>
  <c r="AG144" i="1"/>
  <c r="AJ143" i="1"/>
  <c r="AK143" i="1" s="1"/>
  <c r="CA142" i="1"/>
  <c r="CB142" i="1" s="1"/>
  <c r="BX143" i="1" s="1"/>
  <c r="CE143" i="1" s="1"/>
  <c r="BT142" i="1"/>
  <c r="BS142" i="1" s="1"/>
  <c r="AU139" i="1"/>
  <c r="AZ139" i="1"/>
  <c r="BB139" i="1" s="1"/>
  <c r="BC139" i="1" s="1"/>
  <c r="AT139" i="1"/>
  <c r="AM143" i="1"/>
  <c r="AN143" i="1"/>
  <c r="AE142" i="1"/>
  <c r="CF142" i="1"/>
  <c r="CJ142" i="1"/>
  <c r="CM142" i="1"/>
  <c r="CN142" i="1" s="1"/>
  <c r="H142" i="1"/>
  <c r="J142" i="1" s="1"/>
  <c r="BV142" i="1"/>
  <c r="Y143" i="1"/>
  <c r="Z143" i="1"/>
  <c r="V144" i="1"/>
  <c r="O145" i="1" s="1"/>
  <c r="G144" i="1"/>
  <c r="AH144" i="1" l="1"/>
  <c r="AI144" i="1"/>
  <c r="BN147" i="1"/>
  <c r="BM147" i="1"/>
  <c r="BZ143" i="1"/>
  <c r="BY143" i="1"/>
  <c r="BR143" i="1"/>
  <c r="BU143" i="1" s="1"/>
  <c r="AV139" i="1"/>
  <c r="AW139" i="1"/>
  <c r="AO143" i="1"/>
  <c r="AP143" i="1" s="1"/>
  <c r="AL144" i="1"/>
  <c r="CG142" i="1"/>
  <c r="CD143" i="1"/>
  <c r="AA143" i="1"/>
  <c r="N144" i="1" s="1"/>
  <c r="E143" i="1"/>
  <c r="F143" i="1" s="1"/>
  <c r="AD143" i="1" s="1"/>
  <c r="BI144" i="1"/>
  <c r="BH144" i="1" s="1"/>
  <c r="BG145" i="1" s="1"/>
  <c r="U145" i="1"/>
  <c r="T145" i="1"/>
  <c r="BO147" i="1" l="1"/>
  <c r="BL148" i="1"/>
  <c r="AJ144" i="1"/>
  <c r="AK144" i="1" s="1"/>
  <c r="AG145" i="1"/>
  <c r="BJ145" i="1"/>
  <c r="CA143" i="1"/>
  <c r="CB143" i="1" s="1"/>
  <c r="BX144" i="1" s="1"/>
  <c r="BT143" i="1"/>
  <c r="BS143" i="1" s="1"/>
  <c r="AS140" i="1"/>
  <c r="AN144" i="1"/>
  <c r="AM144" i="1"/>
  <c r="Y144" i="1"/>
  <c r="Z144" i="1"/>
  <c r="AE143" i="1"/>
  <c r="CJ143" i="1"/>
  <c r="CF143" i="1"/>
  <c r="CM143" i="1"/>
  <c r="CN143" i="1" s="1"/>
  <c r="H143" i="1"/>
  <c r="J143" i="1" s="1"/>
  <c r="BV143" i="1"/>
  <c r="G145" i="1"/>
  <c r="V145" i="1"/>
  <c r="O146" i="1" s="1"/>
  <c r="AI145" i="1" l="1"/>
  <c r="AH145" i="1"/>
  <c r="BM148" i="1"/>
  <c r="BN148" i="1"/>
  <c r="BR144" i="1"/>
  <c r="BU144" i="1" s="1"/>
  <c r="AT140" i="1"/>
  <c r="AU140" i="1"/>
  <c r="AZ140" i="1"/>
  <c r="BB140" i="1" s="1"/>
  <c r="BC140" i="1" s="1"/>
  <c r="AO144" i="1"/>
  <c r="AP144" i="1" s="1"/>
  <c r="AL145" i="1"/>
  <c r="CE144" i="1"/>
  <c r="BY144" i="1"/>
  <c r="BZ144" i="1"/>
  <c r="CG143" i="1"/>
  <c r="CD144" i="1"/>
  <c r="AA144" i="1"/>
  <c r="N145" i="1" s="1"/>
  <c r="E144" i="1"/>
  <c r="F144" i="1" s="1"/>
  <c r="AD144" i="1" s="1"/>
  <c r="U146" i="1"/>
  <c r="T146" i="1"/>
  <c r="BI145" i="1"/>
  <c r="BH145" i="1" s="1"/>
  <c r="BG146" i="1" s="1"/>
  <c r="BJ146" i="1" l="1"/>
  <c r="BO148" i="1"/>
  <c r="BL149" i="1"/>
  <c r="AJ145" i="1"/>
  <c r="AK145" i="1" s="1"/>
  <c r="AG146" i="1"/>
  <c r="CA144" i="1"/>
  <c r="CB144" i="1" s="1"/>
  <c r="BX145" i="1" s="1"/>
  <c r="BT144" i="1"/>
  <c r="BS144" i="1" s="1"/>
  <c r="AV140" i="1"/>
  <c r="AW140" i="1"/>
  <c r="AN145" i="1"/>
  <c r="AM145" i="1"/>
  <c r="AE144" i="1"/>
  <c r="CM144" i="1"/>
  <c r="CN144" i="1" s="1"/>
  <c r="CF144" i="1"/>
  <c r="CG144" i="1" s="1"/>
  <c r="CJ144" i="1"/>
  <c r="BV144" i="1"/>
  <c r="H144" i="1"/>
  <c r="J144" i="1" s="1"/>
  <c r="Y145" i="1"/>
  <c r="Z145" i="1"/>
  <c r="V146" i="1"/>
  <c r="O147" i="1" s="1"/>
  <c r="G146" i="1"/>
  <c r="AI146" i="1" l="1"/>
  <c r="AH146" i="1"/>
  <c r="BM149" i="1"/>
  <c r="BN149" i="1"/>
  <c r="BR145" i="1"/>
  <c r="BU145" i="1" s="1"/>
  <c r="BT145" i="1" s="1"/>
  <c r="AS141" i="1"/>
  <c r="AL146" i="1"/>
  <c r="AO145" i="1"/>
  <c r="AP145" i="1" s="1"/>
  <c r="CE145" i="1"/>
  <c r="BZ145" i="1"/>
  <c r="BY145" i="1"/>
  <c r="AA145" i="1"/>
  <c r="N146" i="1" s="1"/>
  <c r="E145" i="1"/>
  <c r="F145" i="1" s="1"/>
  <c r="AD145" i="1" s="1"/>
  <c r="CD145" i="1"/>
  <c r="BI146" i="1"/>
  <c r="BH146" i="1" s="1"/>
  <c r="BG147" i="1" s="1"/>
  <c r="U147" i="1"/>
  <c r="T147" i="1"/>
  <c r="BO149" i="1" l="1"/>
  <c r="BL150" i="1"/>
  <c r="AG147" i="1"/>
  <c r="AJ146" i="1"/>
  <c r="AK146" i="1" s="1"/>
  <c r="BJ147" i="1"/>
  <c r="BS145" i="1"/>
  <c r="AU141" i="1"/>
  <c r="AZ141" i="1"/>
  <c r="BB141" i="1" s="1"/>
  <c r="BC141" i="1" s="1"/>
  <c r="AT141" i="1"/>
  <c r="AM146" i="1"/>
  <c r="AN146" i="1"/>
  <c r="AE145" i="1"/>
  <c r="CM145" i="1"/>
  <c r="CN145" i="1" s="1"/>
  <c r="CF145" i="1"/>
  <c r="CG145" i="1" s="1"/>
  <c r="CJ145" i="1"/>
  <c r="BV145" i="1"/>
  <c r="H145" i="1"/>
  <c r="J145" i="1" s="1"/>
  <c r="Y146" i="1"/>
  <c r="Z146" i="1"/>
  <c r="CA145" i="1"/>
  <c r="CB145" i="1" s="1"/>
  <c r="BX146" i="1" s="1"/>
  <c r="V147" i="1"/>
  <c r="O148" i="1" s="1"/>
  <c r="G147" i="1"/>
  <c r="AI147" i="1" l="1"/>
  <c r="AH147" i="1"/>
  <c r="BN150" i="1"/>
  <c r="BM150" i="1"/>
  <c r="BR146" i="1"/>
  <c r="BU146" i="1" s="1"/>
  <c r="AV141" i="1"/>
  <c r="AW141" i="1"/>
  <c r="AO146" i="1"/>
  <c r="AP146" i="1" s="1"/>
  <c r="AL147" i="1"/>
  <c r="AA146" i="1"/>
  <c r="N147" i="1" s="1"/>
  <c r="E146" i="1"/>
  <c r="F146" i="1" s="1"/>
  <c r="AD146" i="1" s="1"/>
  <c r="BY146" i="1"/>
  <c r="BZ146" i="1"/>
  <c r="CE146" i="1"/>
  <c r="CD146" i="1"/>
  <c r="BI147" i="1"/>
  <c r="BH147" i="1" s="1"/>
  <c r="BG148" i="1" s="1"/>
  <c r="U148" i="1"/>
  <c r="T148" i="1"/>
  <c r="BO150" i="1" l="1"/>
  <c r="BL151" i="1"/>
  <c r="AJ147" i="1"/>
  <c r="AK147" i="1" s="1"/>
  <c r="AG148" i="1"/>
  <c r="BJ148" i="1"/>
  <c r="CA146" i="1"/>
  <c r="CB146" i="1" s="1"/>
  <c r="BX147" i="1" s="1"/>
  <c r="BY147" i="1" s="1"/>
  <c r="BT146" i="1"/>
  <c r="BS146" i="1" s="1"/>
  <c r="AS142" i="1"/>
  <c r="AN147" i="1"/>
  <c r="AM147" i="1"/>
  <c r="AE146" i="1"/>
  <c r="CJ146" i="1"/>
  <c r="CM146" i="1"/>
  <c r="CN146" i="1" s="1"/>
  <c r="CF146" i="1"/>
  <c r="BV146" i="1"/>
  <c r="H146" i="1"/>
  <c r="J146" i="1" s="1"/>
  <c r="Y147" i="1"/>
  <c r="Z147" i="1"/>
  <c r="V148" i="1"/>
  <c r="O149" i="1" s="1"/>
  <c r="G148" i="1"/>
  <c r="AI148" i="1" l="1"/>
  <c r="AH148" i="1"/>
  <c r="BN151" i="1"/>
  <c r="BM151" i="1"/>
  <c r="BZ147" i="1"/>
  <c r="CA147" i="1" s="1"/>
  <c r="CE147" i="1"/>
  <c r="BR147" i="1"/>
  <c r="BU147" i="1" s="1"/>
  <c r="AU142" i="1"/>
  <c r="AZ142" i="1"/>
  <c r="BB142" i="1" s="1"/>
  <c r="BC142" i="1" s="1"/>
  <c r="AT142" i="1"/>
  <c r="AL148" i="1"/>
  <c r="AO147" i="1"/>
  <c r="AP147" i="1" s="1"/>
  <c r="AA147" i="1"/>
  <c r="N148" i="1" s="1"/>
  <c r="E147" i="1"/>
  <c r="F147" i="1" s="1"/>
  <c r="AD147" i="1" s="1"/>
  <c r="CD147" i="1"/>
  <c r="CG146" i="1"/>
  <c r="BI148" i="1"/>
  <c r="BH148" i="1" s="1"/>
  <c r="BG149" i="1" s="1"/>
  <c r="U149" i="1"/>
  <c r="T149" i="1"/>
  <c r="CB147" i="1" l="1"/>
  <c r="BX148" i="1" s="1"/>
  <c r="CE148" i="1" s="1"/>
  <c r="BO151" i="1"/>
  <c r="BL152" i="1"/>
  <c r="AJ148" i="1"/>
  <c r="AK148" i="1" s="1"/>
  <c r="AG149" i="1"/>
  <c r="BJ149" i="1"/>
  <c r="BT147" i="1"/>
  <c r="BS147" i="1" s="1"/>
  <c r="AW142" i="1"/>
  <c r="AV142" i="1"/>
  <c r="AM148" i="1"/>
  <c r="AN148" i="1"/>
  <c r="AE147" i="1"/>
  <c r="CF147" i="1"/>
  <c r="CM147" i="1"/>
  <c r="CN147" i="1" s="1"/>
  <c r="CJ147" i="1"/>
  <c r="H147" i="1"/>
  <c r="J147" i="1" s="1"/>
  <c r="BV147" i="1"/>
  <c r="Y148" i="1"/>
  <c r="Z148" i="1"/>
  <c r="G149" i="1"/>
  <c r="V149" i="1"/>
  <c r="O150" i="1" s="1"/>
  <c r="BY148" i="1" l="1"/>
  <c r="BZ148" i="1"/>
  <c r="AI149" i="1"/>
  <c r="AH149" i="1"/>
  <c r="BN152" i="1"/>
  <c r="BM152" i="1"/>
  <c r="BR148" i="1"/>
  <c r="BU148" i="1" s="1"/>
  <c r="AS143" i="1"/>
  <c r="AO148" i="1"/>
  <c r="AP148" i="1" s="1"/>
  <c r="AL149" i="1"/>
  <c r="AA148" i="1"/>
  <c r="N149" i="1" s="1"/>
  <c r="E148" i="1"/>
  <c r="F148" i="1" s="1"/>
  <c r="AD148" i="1" s="1"/>
  <c r="CD148" i="1"/>
  <c r="CG147" i="1"/>
  <c r="U150" i="1"/>
  <c r="T150" i="1"/>
  <c r="BI149" i="1"/>
  <c r="BH149" i="1" s="1"/>
  <c r="BG150" i="1" s="1"/>
  <c r="CA148" i="1" l="1"/>
  <c r="CB148" i="1" s="1"/>
  <c r="BX149" i="1" s="1"/>
  <c r="BZ149" i="1" s="1"/>
  <c r="BJ150" i="1"/>
  <c r="BO152" i="1"/>
  <c r="BL153" i="1"/>
  <c r="AJ149" i="1"/>
  <c r="AK149" i="1" s="1"/>
  <c r="AG150" i="1"/>
  <c r="BT148" i="1"/>
  <c r="BS148" i="1" s="1"/>
  <c r="AU143" i="1"/>
  <c r="AT143" i="1"/>
  <c r="AZ143" i="1"/>
  <c r="BB143" i="1" s="1"/>
  <c r="BC143" i="1" s="1"/>
  <c r="AN149" i="1"/>
  <c r="AM149" i="1"/>
  <c r="AE148" i="1"/>
  <c r="CF148" i="1"/>
  <c r="CJ148" i="1"/>
  <c r="CM148" i="1"/>
  <c r="CN148" i="1" s="1"/>
  <c r="H148" i="1"/>
  <c r="J148" i="1" s="1"/>
  <c r="BV148" i="1"/>
  <c r="Y149" i="1"/>
  <c r="Z149" i="1"/>
  <c r="V150" i="1"/>
  <c r="O151" i="1" s="1"/>
  <c r="G150" i="1"/>
  <c r="BY149" i="1" l="1"/>
  <c r="CA149" i="1" s="1"/>
  <c r="CE149" i="1"/>
  <c r="AH150" i="1"/>
  <c r="AI150" i="1"/>
  <c r="BN153" i="1"/>
  <c r="BM153" i="1"/>
  <c r="BR149" i="1"/>
  <c r="BU149" i="1" s="1"/>
  <c r="AV143" i="1"/>
  <c r="AW143" i="1"/>
  <c r="AO149" i="1"/>
  <c r="AP149" i="1" s="1"/>
  <c r="AL150" i="1"/>
  <c r="AA149" i="1"/>
  <c r="N150" i="1" s="1"/>
  <c r="E149" i="1"/>
  <c r="F149" i="1" s="1"/>
  <c r="AD149" i="1" s="1"/>
  <c r="CG148" i="1"/>
  <c r="CD149" i="1"/>
  <c r="U151" i="1"/>
  <c r="T151" i="1"/>
  <c r="BI150" i="1"/>
  <c r="BH150" i="1" s="1"/>
  <c r="BG151" i="1" s="1"/>
  <c r="CB149" i="1" l="1"/>
  <c r="BX150" i="1" s="1"/>
  <c r="BY150" i="1" s="1"/>
  <c r="BJ151" i="1"/>
  <c r="BO153" i="1"/>
  <c r="BL154" i="1"/>
  <c r="AJ150" i="1"/>
  <c r="AK150" i="1" s="1"/>
  <c r="AG151" i="1"/>
  <c r="BT149" i="1"/>
  <c r="BS149" i="1" s="1"/>
  <c r="AS144" i="1"/>
  <c r="AM150" i="1"/>
  <c r="AN150" i="1"/>
  <c r="AE149" i="1"/>
  <c r="CJ149" i="1"/>
  <c r="CF149" i="1"/>
  <c r="CM149" i="1"/>
  <c r="CN149" i="1" s="1"/>
  <c r="H149" i="1"/>
  <c r="J149" i="1" s="1"/>
  <c r="BV149" i="1"/>
  <c r="Y150" i="1"/>
  <c r="Z150" i="1"/>
  <c r="V151" i="1"/>
  <c r="O152" i="1" s="1"/>
  <c r="G151" i="1"/>
  <c r="CE150" i="1" l="1"/>
  <c r="BZ150" i="1"/>
  <c r="CA150" i="1" s="1"/>
  <c r="AH151" i="1"/>
  <c r="AI151" i="1"/>
  <c r="BN154" i="1"/>
  <c r="BM154" i="1"/>
  <c r="BR150" i="1"/>
  <c r="BU150" i="1" s="1"/>
  <c r="AZ144" i="1"/>
  <c r="BB144" i="1" s="1"/>
  <c r="BC144" i="1" s="1"/>
  <c r="AT144" i="1"/>
  <c r="AU144" i="1"/>
  <c r="AO150" i="1"/>
  <c r="AP150" i="1" s="1"/>
  <c r="AL151" i="1"/>
  <c r="E150" i="1"/>
  <c r="F150" i="1" s="1"/>
  <c r="AD150" i="1" s="1"/>
  <c r="AA150" i="1"/>
  <c r="N151" i="1" s="1"/>
  <c r="CD150" i="1"/>
  <c r="CG149" i="1"/>
  <c r="BI151" i="1"/>
  <c r="BH151" i="1" s="1"/>
  <c r="BG152" i="1" s="1"/>
  <c r="U152" i="1"/>
  <c r="T152" i="1"/>
  <c r="CB150" i="1" l="1"/>
  <c r="BX151" i="1" s="1"/>
  <c r="CE151" i="1" s="1"/>
  <c r="BO154" i="1"/>
  <c r="BL155" i="1"/>
  <c r="AG152" i="1"/>
  <c r="AJ151" i="1"/>
  <c r="AK151" i="1" s="1"/>
  <c r="BJ152" i="1"/>
  <c r="BT150" i="1"/>
  <c r="BS150" i="1" s="1"/>
  <c r="AW144" i="1"/>
  <c r="AV144" i="1"/>
  <c r="AN151" i="1"/>
  <c r="AM151" i="1"/>
  <c r="Y151" i="1"/>
  <c r="Z151" i="1"/>
  <c r="AE150" i="1"/>
  <c r="CJ150" i="1"/>
  <c r="CF150" i="1"/>
  <c r="CM150" i="1"/>
  <c r="CN150" i="1" s="1"/>
  <c r="BV150" i="1"/>
  <c r="H150" i="1"/>
  <c r="J150" i="1" s="1"/>
  <c r="V152" i="1"/>
  <c r="O153" i="1" s="1"/>
  <c r="G152" i="1"/>
  <c r="BY151" i="1" l="1"/>
  <c r="BZ151" i="1"/>
  <c r="AH152" i="1"/>
  <c r="AI152" i="1"/>
  <c r="BR151" i="1"/>
  <c r="BU151" i="1" s="1"/>
  <c r="BT151" i="1" s="1"/>
  <c r="BS151" i="1" s="1"/>
  <c r="BM155" i="1"/>
  <c r="BN155" i="1"/>
  <c r="AS145" i="1"/>
  <c r="AO151" i="1"/>
  <c r="AP151" i="1" s="1"/>
  <c r="AL152" i="1"/>
  <c r="CG150" i="1"/>
  <c r="CD151" i="1"/>
  <c r="AA151" i="1"/>
  <c r="N152" i="1" s="1"/>
  <c r="E151" i="1"/>
  <c r="F151" i="1" s="1"/>
  <c r="AD151" i="1" s="1"/>
  <c r="U153" i="1"/>
  <c r="T153" i="1"/>
  <c r="BI152" i="1"/>
  <c r="BH152" i="1" s="1"/>
  <c r="BG153" i="1" s="1"/>
  <c r="CA151" i="1" l="1"/>
  <c r="BJ153" i="1"/>
  <c r="BO155" i="1"/>
  <c r="BL156" i="1"/>
  <c r="CB151" i="1"/>
  <c r="BX152" i="1" s="1"/>
  <c r="BZ152" i="1" s="1"/>
  <c r="AG153" i="1"/>
  <c r="AJ152" i="1"/>
  <c r="AK152" i="1" s="1"/>
  <c r="AT145" i="1"/>
  <c r="AU145" i="1"/>
  <c r="AZ145" i="1"/>
  <c r="BB145" i="1" s="1"/>
  <c r="BC145" i="1" s="1"/>
  <c r="AM152" i="1"/>
  <c r="AN152" i="1"/>
  <c r="AE151" i="1"/>
  <c r="CJ151" i="1"/>
  <c r="CM151" i="1"/>
  <c r="CN151" i="1" s="1"/>
  <c r="CF151" i="1"/>
  <c r="BV151" i="1"/>
  <c r="BR152" i="1" s="1"/>
  <c r="BU152" i="1" s="1"/>
  <c r="H151" i="1"/>
  <c r="J151" i="1" s="1"/>
  <c r="Y152" i="1"/>
  <c r="Z152" i="1"/>
  <c r="V153" i="1"/>
  <c r="O154" i="1" s="1"/>
  <c r="G153" i="1"/>
  <c r="CE152" i="1" l="1"/>
  <c r="AI153" i="1"/>
  <c r="AH153" i="1"/>
  <c r="BY152" i="1"/>
  <c r="CA152" i="1" s="1"/>
  <c r="BN156" i="1"/>
  <c r="BM156" i="1"/>
  <c r="BT152" i="1"/>
  <c r="BS152" i="1" s="1"/>
  <c r="AV145" i="1"/>
  <c r="AW145" i="1"/>
  <c r="AO152" i="1"/>
  <c r="AP152" i="1" s="1"/>
  <c r="AL153" i="1"/>
  <c r="E152" i="1"/>
  <c r="F152" i="1" s="1"/>
  <c r="AD152" i="1" s="1"/>
  <c r="AA152" i="1"/>
  <c r="N153" i="1" s="1"/>
  <c r="CD152" i="1"/>
  <c r="CG151" i="1"/>
  <c r="BI153" i="1"/>
  <c r="BH153" i="1" s="1"/>
  <c r="BG154" i="1" s="1"/>
  <c r="U154" i="1"/>
  <c r="T154" i="1"/>
  <c r="CB152" i="1" l="1"/>
  <c r="BX153" i="1" s="1"/>
  <c r="BZ153" i="1" s="1"/>
  <c r="BO156" i="1"/>
  <c r="BL157" i="1"/>
  <c r="AJ153" i="1"/>
  <c r="AK153" i="1" s="1"/>
  <c r="AG154" i="1"/>
  <c r="BJ154" i="1"/>
  <c r="AS146" i="1"/>
  <c r="AN153" i="1"/>
  <c r="AM153" i="1"/>
  <c r="Y153" i="1"/>
  <c r="Z153" i="1"/>
  <c r="AE152" i="1"/>
  <c r="CF152" i="1"/>
  <c r="CJ152" i="1"/>
  <c r="CM152" i="1"/>
  <c r="CN152" i="1" s="1"/>
  <c r="BV152" i="1"/>
  <c r="BR153" i="1" s="1"/>
  <c r="BU153" i="1" s="1"/>
  <c r="H152" i="1"/>
  <c r="J152" i="1" s="1"/>
  <c r="V154" i="1"/>
  <c r="O155" i="1" s="1"/>
  <c r="G154" i="1"/>
  <c r="BY153" i="1" l="1"/>
  <c r="CA153" i="1" s="1"/>
  <c r="CE153" i="1"/>
  <c r="AI154" i="1"/>
  <c r="AH154" i="1"/>
  <c r="BM157" i="1"/>
  <c r="BN157" i="1"/>
  <c r="BT153" i="1"/>
  <c r="BS153" i="1" s="1"/>
  <c r="AU146" i="1"/>
  <c r="AT146" i="1"/>
  <c r="AZ146" i="1"/>
  <c r="BB146" i="1" s="1"/>
  <c r="BC146" i="1" s="1"/>
  <c r="AL154" i="1"/>
  <c r="AO153" i="1"/>
  <c r="AP153" i="1" s="1"/>
  <c r="CD153" i="1"/>
  <c r="CG152" i="1"/>
  <c r="E153" i="1"/>
  <c r="F153" i="1" s="1"/>
  <c r="AD153" i="1" s="1"/>
  <c r="AA153" i="1"/>
  <c r="BI154" i="1"/>
  <c r="BH154" i="1" s="1"/>
  <c r="BG155" i="1" s="1"/>
  <c r="U155" i="1"/>
  <c r="T155" i="1"/>
  <c r="BJ155" i="1" l="1"/>
  <c r="BO157" i="1"/>
  <c r="BL158" i="1"/>
  <c r="AG155" i="1"/>
  <c r="AJ154" i="1"/>
  <c r="AK154" i="1" s="1"/>
  <c r="AV146" i="1"/>
  <c r="AW146" i="1"/>
  <c r="AN154" i="1"/>
  <c r="AM154" i="1"/>
  <c r="AE153" i="1"/>
  <c r="CF153" i="1"/>
  <c r="CJ153" i="1"/>
  <c r="CM153" i="1"/>
  <c r="CN153" i="1" s="1"/>
  <c r="H153" i="1"/>
  <c r="J153" i="1" s="1"/>
  <c r="BV153" i="1"/>
  <c r="BR154" i="1" s="1"/>
  <c r="BU154" i="1" s="1"/>
  <c r="CB153" i="1"/>
  <c r="BX154" i="1" s="1"/>
  <c r="N154" i="1"/>
  <c r="V155" i="1"/>
  <c r="O156" i="1" s="1"/>
  <c r="G155" i="1"/>
  <c r="AI155" i="1" l="1"/>
  <c r="AH155" i="1"/>
  <c r="BM158" i="1"/>
  <c r="BN158" i="1"/>
  <c r="AS147" i="1"/>
  <c r="AL155" i="1"/>
  <c r="AO154" i="1"/>
  <c r="AP154" i="1" s="1"/>
  <c r="Y154" i="1"/>
  <c r="Z154" i="1"/>
  <c r="BY154" i="1"/>
  <c r="CE154" i="1"/>
  <c r="BZ154" i="1"/>
  <c r="BT154" i="1"/>
  <c r="BS154" i="1" s="1"/>
  <c r="CD154" i="1"/>
  <c r="CG153" i="1"/>
  <c r="BI155" i="1"/>
  <c r="BH155" i="1" s="1"/>
  <c r="BG156" i="1" s="1"/>
  <c r="U156" i="1"/>
  <c r="T156" i="1"/>
  <c r="CA154" i="1" l="1"/>
  <c r="BO158" i="1"/>
  <c r="BL159" i="1"/>
  <c r="AJ155" i="1"/>
  <c r="AK155" i="1" s="1"/>
  <c r="AG156" i="1"/>
  <c r="BJ156" i="1"/>
  <c r="AU147" i="1"/>
  <c r="AZ147" i="1"/>
  <c r="BB147" i="1" s="1"/>
  <c r="BC147" i="1" s="1"/>
  <c r="AT147" i="1"/>
  <c r="AM155" i="1"/>
  <c r="AN155" i="1"/>
  <c r="AA154" i="1"/>
  <c r="N155" i="1" s="1"/>
  <c r="E154" i="1"/>
  <c r="F154" i="1" s="1"/>
  <c r="AD154" i="1" s="1"/>
  <c r="G156" i="1"/>
  <c r="V156" i="1"/>
  <c r="O157" i="1" s="1"/>
  <c r="AH156" i="1" l="1"/>
  <c r="AI156" i="1"/>
  <c r="BM159" i="1"/>
  <c r="BN159" i="1"/>
  <c r="AV147" i="1"/>
  <c r="AW147" i="1"/>
  <c r="AO155" i="1"/>
  <c r="AP155" i="1" s="1"/>
  <c r="AL156" i="1"/>
  <c r="AE154" i="1"/>
  <c r="CF154" i="1"/>
  <c r="CJ154" i="1"/>
  <c r="CM154" i="1"/>
  <c r="CN154" i="1" s="1"/>
  <c r="H154" i="1"/>
  <c r="J154" i="1" s="1"/>
  <c r="BV154" i="1"/>
  <c r="BR155" i="1" s="1"/>
  <c r="BU155" i="1" s="1"/>
  <c r="Y155" i="1"/>
  <c r="Z155" i="1"/>
  <c r="CB154" i="1"/>
  <c r="BX155" i="1" s="1"/>
  <c r="U157" i="1"/>
  <c r="T157" i="1"/>
  <c r="BI156" i="1"/>
  <c r="BH156" i="1" s="1"/>
  <c r="BG157" i="1" s="1"/>
  <c r="BJ157" i="1" l="1"/>
  <c r="BO159" i="1"/>
  <c r="BL160" i="1"/>
  <c r="AG157" i="1"/>
  <c r="AJ156" i="1"/>
  <c r="AK156" i="1" s="1"/>
  <c r="BT155" i="1"/>
  <c r="BS155" i="1" s="1"/>
  <c r="AS148" i="1"/>
  <c r="AM156" i="1"/>
  <c r="AN156" i="1"/>
  <c r="CE155" i="1"/>
  <c r="BZ155" i="1"/>
  <c r="BY155" i="1"/>
  <c r="CD155" i="1"/>
  <c r="CG154" i="1"/>
  <c r="AA155" i="1"/>
  <c r="N156" i="1" s="1"/>
  <c r="E155" i="1"/>
  <c r="F155" i="1" s="1"/>
  <c r="AD155" i="1" s="1"/>
  <c r="V157" i="1"/>
  <c r="O158" i="1" s="1"/>
  <c r="G157" i="1"/>
  <c r="AI157" i="1" l="1"/>
  <c r="AH157" i="1"/>
  <c r="BM160" i="1"/>
  <c r="BN160" i="1"/>
  <c r="BR156" i="1"/>
  <c r="BU156" i="1" s="1"/>
  <c r="AT148" i="1"/>
  <c r="AZ148" i="1"/>
  <c r="BB148" i="1" s="1"/>
  <c r="BC148" i="1" s="1"/>
  <c r="AU148" i="1"/>
  <c r="AO156" i="1"/>
  <c r="AP156" i="1" s="1"/>
  <c r="AL157" i="1"/>
  <c r="Y156" i="1"/>
  <c r="Z156" i="1"/>
  <c r="CA155" i="1"/>
  <c r="CB155" i="1" s="1"/>
  <c r="BX156" i="1" s="1"/>
  <c r="AE155" i="1"/>
  <c r="CJ155" i="1"/>
  <c r="CF155" i="1"/>
  <c r="CM155" i="1"/>
  <c r="CN155" i="1" s="1"/>
  <c r="H155" i="1"/>
  <c r="J155" i="1" s="1"/>
  <c r="BV155" i="1"/>
  <c r="CG155" i="1"/>
  <c r="BI157" i="1"/>
  <c r="BH157" i="1" s="1"/>
  <c r="BG158" i="1" s="1"/>
  <c r="U158" i="1"/>
  <c r="T158" i="1"/>
  <c r="BO160" i="1" l="1"/>
  <c r="BL161" i="1"/>
  <c r="AJ157" i="1"/>
  <c r="AK157" i="1" s="1"/>
  <c r="AG158" i="1"/>
  <c r="BJ158" i="1"/>
  <c r="BT156" i="1"/>
  <c r="BS156" i="1" s="1"/>
  <c r="AW148" i="1"/>
  <c r="AV148" i="1"/>
  <c r="AS149" i="1" s="1"/>
  <c r="AM157" i="1"/>
  <c r="AN157" i="1"/>
  <c r="CD156" i="1"/>
  <c r="BZ156" i="1"/>
  <c r="BY156" i="1"/>
  <c r="CE156" i="1"/>
  <c r="AA156" i="1"/>
  <c r="N157" i="1" s="1"/>
  <c r="E156" i="1"/>
  <c r="F156" i="1" s="1"/>
  <c r="AD156" i="1" s="1"/>
  <c r="V158" i="1"/>
  <c r="O159" i="1" s="1"/>
  <c r="G158" i="1"/>
  <c r="AH158" i="1" l="1"/>
  <c r="AI158" i="1"/>
  <c r="BN161" i="1"/>
  <c r="BM161" i="1"/>
  <c r="AZ149" i="1"/>
  <c r="BB149" i="1" s="1"/>
  <c r="BC149" i="1" s="1"/>
  <c r="AU149" i="1"/>
  <c r="AT149" i="1"/>
  <c r="AO157" i="1"/>
  <c r="AP157" i="1" s="1"/>
  <c r="AL158" i="1"/>
  <c r="AE156" i="1"/>
  <c r="CM156" i="1"/>
  <c r="CN156" i="1" s="1"/>
  <c r="CJ156" i="1"/>
  <c r="CF156" i="1"/>
  <c r="CG156" i="1" s="1"/>
  <c r="H156" i="1"/>
  <c r="J156" i="1" s="1"/>
  <c r="BV156" i="1"/>
  <c r="BR157" i="1" s="1"/>
  <c r="BU157" i="1" s="1"/>
  <c r="Y157" i="1"/>
  <c r="Z157" i="1"/>
  <c r="CA156" i="1"/>
  <c r="CB156" i="1" s="1"/>
  <c r="BX157" i="1" s="1"/>
  <c r="BI158" i="1"/>
  <c r="BH158" i="1" s="1"/>
  <c r="BG159" i="1" s="1"/>
  <c r="U159" i="1"/>
  <c r="T159" i="1"/>
  <c r="BO161" i="1" l="1"/>
  <c r="BL162" i="1"/>
  <c r="AJ158" i="1"/>
  <c r="AK158" i="1" s="1"/>
  <c r="AG159" i="1"/>
  <c r="BJ159" i="1"/>
  <c r="BT157" i="1"/>
  <c r="BS157" i="1" s="1"/>
  <c r="AV149" i="1"/>
  <c r="AS150" i="1" s="1"/>
  <c r="AW149" i="1"/>
  <c r="AN158" i="1"/>
  <c r="AM158" i="1"/>
  <c r="BY157" i="1"/>
  <c r="CE157" i="1"/>
  <c r="BZ157" i="1"/>
  <c r="CD157" i="1"/>
  <c r="AA157" i="1"/>
  <c r="N158" i="1" s="1"/>
  <c r="E157" i="1"/>
  <c r="F157" i="1" s="1"/>
  <c r="AD157" i="1" s="1"/>
  <c r="V159" i="1"/>
  <c r="O160" i="1" s="1"/>
  <c r="G159" i="1"/>
  <c r="AI159" i="1" l="1"/>
  <c r="AH159" i="1"/>
  <c r="BM162" i="1"/>
  <c r="BN162" i="1"/>
  <c r="CA157" i="1"/>
  <c r="CB157" i="1" s="1"/>
  <c r="BX158" i="1" s="1"/>
  <c r="AZ150" i="1"/>
  <c r="BB150" i="1" s="1"/>
  <c r="BC150" i="1" s="1"/>
  <c r="AT150" i="1"/>
  <c r="AU150" i="1"/>
  <c r="AO158" i="1"/>
  <c r="AP158" i="1" s="1"/>
  <c r="AL159" i="1"/>
  <c r="AE157" i="1"/>
  <c r="CJ157" i="1"/>
  <c r="CF157" i="1"/>
  <c r="CG157" i="1" s="1"/>
  <c r="CM157" i="1"/>
  <c r="CN157" i="1" s="1"/>
  <c r="BV157" i="1"/>
  <c r="BR158" i="1" s="1"/>
  <c r="BU158" i="1" s="1"/>
  <c r="H157" i="1"/>
  <c r="J157" i="1" s="1"/>
  <c r="Y158" i="1"/>
  <c r="Z158" i="1"/>
  <c r="BI159" i="1"/>
  <c r="BH159" i="1" s="1"/>
  <c r="BG160" i="1" s="1"/>
  <c r="U160" i="1"/>
  <c r="T160" i="1"/>
  <c r="BO162" i="1" l="1"/>
  <c r="BL163" i="1"/>
  <c r="AJ159" i="1"/>
  <c r="AK159" i="1" s="1"/>
  <c r="AG160" i="1"/>
  <c r="BJ160" i="1"/>
  <c r="BT158" i="1"/>
  <c r="BS158" i="1" s="1"/>
  <c r="AW150" i="1"/>
  <c r="AV150" i="1"/>
  <c r="AS151" i="1" s="1"/>
  <c r="AM159" i="1"/>
  <c r="AN159" i="1"/>
  <c r="CD158" i="1"/>
  <c r="BY158" i="1"/>
  <c r="CE158" i="1"/>
  <c r="BZ158" i="1"/>
  <c r="E158" i="1"/>
  <c r="F158" i="1" s="1"/>
  <c r="AD158" i="1" s="1"/>
  <c r="AA158" i="1"/>
  <c r="N159" i="1" s="1"/>
  <c r="G160" i="1"/>
  <c r="V160" i="1"/>
  <c r="O161" i="1" s="1"/>
  <c r="AH160" i="1" l="1"/>
  <c r="AI160" i="1"/>
  <c r="BM163" i="1"/>
  <c r="BN163" i="1"/>
  <c r="CA158" i="1"/>
  <c r="CB158" i="1" s="1"/>
  <c r="BX159" i="1" s="1"/>
  <c r="AZ151" i="1"/>
  <c r="BB151" i="1" s="1"/>
  <c r="BC151" i="1" s="1"/>
  <c r="AU151" i="1"/>
  <c r="AT151" i="1"/>
  <c r="AL160" i="1"/>
  <c r="AO159" i="1"/>
  <c r="AP159" i="1" s="1"/>
  <c r="Y159" i="1"/>
  <c r="Z159" i="1"/>
  <c r="AE158" i="1"/>
  <c r="CJ158" i="1"/>
  <c r="CF158" i="1"/>
  <c r="CM158" i="1"/>
  <c r="CN158" i="1" s="1"/>
  <c r="BV158" i="1"/>
  <c r="BR159" i="1" s="1"/>
  <c r="BU159" i="1" s="1"/>
  <c r="H158" i="1"/>
  <c r="J158" i="1" s="1"/>
  <c r="CG158" i="1"/>
  <c r="U161" i="1"/>
  <c r="T161" i="1"/>
  <c r="BI160" i="1"/>
  <c r="BH160" i="1" s="1"/>
  <c r="BG161" i="1" s="1"/>
  <c r="BO163" i="1" l="1"/>
  <c r="BL164" i="1"/>
  <c r="AJ160" i="1"/>
  <c r="AK160" i="1" s="1"/>
  <c r="AG161" i="1"/>
  <c r="BJ161" i="1"/>
  <c r="BT159" i="1"/>
  <c r="BS159" i="1" s="1"/>
  <c r="AV151" i="1"/>
  <c r="AS152" i="1" s="1"/>
  <c r="AW151" i="1"/>
  <c r="AM160" i="1"/>
  <c r="AN160" i="1"/>
  <c r="CD159" i="1"/>
  <c r="CE159" i="1"/>
  <c r="BY159" i="1"/>
  <c r="BZ159" i="1"/>
  <c r="CA159" i="1" s="1"/>
  <c r="E159" i="1"/>
  <c r="F159" i="1" s="1"/>
  <c r="AD159" i="1" s="1"/>
  <c r="AA159" i="1"/>
  <c r="N160" i="1" s="1"/>
  <c r="V161" i="1"/>
  <c r="O162" i="1" s="1"/>
  <c r="G161" i="1"/>
  <c r="AI161" i="1" l="1"/>
  <c r="AH161" i="1"/>
  <c r="BM164" i="1"/>
  <c r="BN164" i="1"/>
  <c r="AU152" i="1"/>
  <c r="AT152" i="1"/>
  <c r="AZ152" i="1"/>
  <c r="BB152" i="1" s="1"/>
  <c r="BC152" i="1" s="1"/>
  <c r="AO160" i="1"/>
  <c r="AP160" i="1" s="1"/>
  <c r="AL161" i="1"/>
  <c r="Y160" i="1"/>
  <c r="Z160" i="1"/>
  <c r="AE159" i="1"/>
  <c r="CM159" i="1"/>
  <c r="CN159" i="1" s="1"/>
  <c r="CF159" i="1"/>
  <c r="CG159" i="1" s="1"/>
  <c r="CJ159" i="1"/>
  <c r="BV159" i="1"/>
  <c r="BR160" i="1" s="1"/>
  <c r="BU160" i="1" s="1"/>
  <c r="H159" i="1"/>
  <c r="J159" i="1" s="1"/>
  <c r="CB159" i="1"/>
  <c r="BX160" i="1" s="1"/>
  <c r="BI161" i="1"/>
  <c r="BH161" i="1" s="1"/>
  <c r="BG162" i="1" s="1"/>
  <c r="U162" i="1"/>
  <c r="T162" i="1"/>
  <c r="BO164" i="1" l="1"/>
  <c r="BL165" i="1"/>
  <c r="AG162" i="1"/>
  <c r="AJ161" i="1"/>
  <c r="AK161" i="1" s="1"/>
  <c r="BJ162" i="1"/>
  <c r="BT160" i="1"/>
  <c r="BS160" i="1" s="1"/>
  <c r="AW152" i="1"/>
  <c r="AV152" i="1"/>
  <c r="AS153" i="1" s="1"/>
  <c r="AM161" i="1"/>
  <c r="AN161" i="1"/>
  <c r="CD160" i="1"/>
  <c r="E160" i="1"/>
  <c r="F160" i="1" s="1"/>
  <c r="AD160" i="1" s="1"/>
  <c r="AA160" i="1"/>
  <c r="N161" i="1" s="1"/>
  <c r="BZ160" i="1"/>
  <c r="CE160" i="1"/>
  <c r="BY160" i="1"/>
  <c r="G162" i="1"/>
  <c r="V162" i="1"/>
  <c r="O163" i="1" s="1"/>
  <c r="AH162" i="1" l="1"/>
  <c r="AI162" i="1"/>
  <c r="BN165" i="1"/>
  <c r="BM165" i="1"/>
  <c r="AU153" i="1"/>
  <c r="AT153" i="1"/>
  <c r="AZ153" i="1"/>
  <c r="BB153" i="1" s="1"/>
  <c r="BC153" i="1" s="1"/>
  <c r="AL162" i="1"/>
  <c r="AO161" i="1"/>
  <c r="AP161" i="1" s="1"/>
  <c r="CA160" i="1"/>
  <c r="CB160" i="1" s="1"/>
  <c r="BX161" i="1" s="1"/>
  <c r="Y161" i="1"/>
  <c r="Z161" i="1"/>
  <c r="AE160" i="1"/>
  <c r="CF160" i="1"/>
  <c r="CM160" i="1"/>
  <c r="CN160" i="1" s="1"/>
  <c r="CJ160" i="1"/>
  <c r="BV160" i="1"/>
  <c r="BR161" i="1" s="1"/>
  <c r="BU161" i="1" s="1"/>
  <c r="H160" i="1"/>
  <c r="J160" i="1" s="1"/>
  <c r="U163" i="1"/>
  <c r="T163" i="1"/>
  <c r="BI162" i="1"/>
  <c r="BH162" i="1" s="1"/>
  <c r="BG163" i="1" s="1"/>
  <c r="BO165" i="1" l="1"/>
  <c r="BL166" i="1"/>
  <c r="BJ163" i="1"/>
  <c r="AG163" i="1"/>
  <c r="AJ162" i="1"/>
  <c r="AK162" i="1" s="1"/>
  <c r="BT161" i="1"/>
  <c r="BS161" i="1" s="1"/>
  <c r="AW153" i="1"/>
  <c r="AV153" i="1"/>
  <c r="AS154" i="1" s="1"/>
  <c r="AM162" i="1"/>
  <c r="AN162" i="1"/>
  <c r="AA161" i="1"/>
  <c r="E161" i="1"/>
  <c r="F161" i="1" s="1"/>
  <c r="AD161" i="1" s="1"/>
  <c r="CD161" i="1"/>
  <c r="CE161" i="1"/>
  <c r="BZ161" i="1"/>
  <c r="BY161" i="1"/>
  <c r="CG160" i="1"/>
  <c r="V163" i="1"/>
  <c r="O164" i="1" s="1"/>
  <c r="G163" i="1"/>
  <c r="AI163" i="1" l="1"/>
  <c r="AH163" i="1"/>
  <c r="BN166" i="1"/>
  <c r="BM166" i="1"/>
  <c r="AT154" i="1"/>
  <c r="AU154" i="1"/>
  <c r="AZ154" i="1"/>
  <c r="BB154" i="1" s="1"/>
  <c r="BC154" i="1" s="1"/>
  <c r="AL163" i="1"/>
  <c r="AO162" i="1"/>
  <c r="AP162" i="1" s="1"/>
  <c r="CA161" i="1"/>
  <c r="CB161" i="1" s="1"/>
  <c r="BX162" i="1" s="1"/>
  <c r="AE161" i="1"/>
  <c r="CM161" i="1"/>
  <c r="CN161" i="1" s="1"/>
  <c r="CJ161" i="1"/>
  <c r="CF161" i="1"/>
  <c r="BV161" i="1"/>
  <c r="BR162" i="1" s="1"/>
  <c r="BU162" i="1" s="1"/>
  <c r="H161" i="1"/>
  <c r="J161" i="1" s="1"/>
  <c r="N162" i="1"/>
  <c r="Z162" i="1" s="1"/>
  <c r="BI163" i="1"/>
  <c r="BH163" i="1" s="1"/>
  <c r="BG164" i="1" s="1"/>
  <c r="U164" i="1"/>
  <c r="T164" i="1"/>
  <c r="BO166" i="1" l="1"/>
  <c r="BL167" i="1"/>
  <c r="AG164" i="1"/>
  <c r="AJ163" i="1"/>
  <c r="AK163" i="1" s="1"/>
  <c r="BJ164" i="1"/>
  <c r="BT162" i="1"/>
  <c r="BS162" i="1" s="1"/>
  <c r="AV154" i="1"/>
  <c r="AS155" i="1" s="1"/>
  <c r="AW154" i="1"/>
  <c r="AN163" i="1"/>
  <c r="AM163" i="1"/>
  <c r="CD162" i="1"/>
  <c r="E162" i="1"/>
  <c r="F162" i="1" s="1"/>
  <c r="AD162" i="1" s="1"/>
  <c r="Y162" i="1"/>
  <c r="AA162" i="1" s="1"/>
  <c r="CG161" i="1"/>
  <c r="BY162" i="1"/>
  <c r="CE162" i="1"/>
  <c r="BZ162" i="1"/>
  <c r="V164" i="1"/>
  <c r="O165" i="1" s="1"/>
  <c r="G164" i="1"/>
  <c r="AI164" i="1" l="1"/>
  <c r="AH164" i="1"/>
  <c r="BN167" i="1"/>
  <c r="BM167" i="1"/>
  <c r="AT155" i="1"/>
  <c r="AU155" i="1"/>
  <c r="AZ155" i="1"/>
  <c r="BB155" i="1" s="1"/>
  <c r="BC155" i="1" s="1"/>
  <c r="AL164" i="1"/>
  <c r="AO163" i="1"/>
  <c r="AP163" i="1" s="1"/>
  <c r="N163" i="1"/>
  <c r="Z163" i="1" s="1"/>
  <c r="AE162" i="1"/>
  <c r="CM162" i="1"/>
  <c r="CN162" i="1" s="1"/>
  <c r="CF162" i="1"/>
  <c r="CJ162" i="1"/>
  <c r="H162" i="1"/>
  <c r="J162" i="1" s="1"/>
  <c r="BV162" i="1"/>
  <c r="BR163" i="1" s="1"/>
  <c r="BU163" i="1" s="1"/>
  <c r="CA162" i="1"/>
  <c r="CB162" i="1" s="1"/>
  <c r="BX163" i="1" s="1"/>
  <c r="BI164" i="1"/>
  <c r="BH164" i="1" s="1"/>
  <c r="BG165" i="1" s="1"/>
  <c r="U165" i="1"/>
  <c r="T165" i="1"/>
  <c r="BO167" i="1" l="1"/>
  <c r="BL168" i="1"/>
  <c r="AG165" i="1"/>
  <c r="AJ164" i="1"/>
  <c r="AK164" i="1" s="1"/>
  <c r="BJ165" i="1"/>
  <c r="BT163" i="1"/>
  <c r="BS163" i="1" s="1"/>
  <c r="AW155" i="1"/>
  <c r="AV155" i="1"/>
  <c r="AS156" i="1" s="1"/>
  <c r="AN164" i="1"/>
  <c r="AM164" i="1"/>
  <c r="CD163" i="1"/>
  <c r="CG162" i="1"/>
  <c r="E163" i="1"/>
  <c r="F163" i="1" s="1"/>
  <c r="AD163" i="1" s="1"/>
  <c r="BZ163" i="1"/>
  <c r="BY163" i="1"/>
  <c r="CE163" i="1"/>
  <c r="Y163" i="1"/>
  <c r="AA163" i="1" s="1"/>
  <c r="G165" i="1"/>
  <c r="V165" i="1"/>
  <c r="O166" i="1" s="1"/>
  <c r="AH165" i="1" l="1"/>
  <c r="AI165" i="1"/>
  <c r="BN168" i="1"/>
  <c r="BM168" i="1"/>
  <c r="AZ156" i="1"/>
  <c r="BB156" i="1" s="1"/>
  <c r="BC156" i="1" s="1"/>
  <c r="AT156" i="1"/>
  <c r="AU156" i="1"/>
  <c r="AL165" i="1"/>
  <c r="AO164" i="1"/>
  <c r="AP164" i="1" s="1"/>
  <c r="N164" i="1"/>
  <c r="Z164" i="1" s="1"/>
  <c r="CA163" i="1"/>
  <c r="CB163" i="1" s="1"/>
  <c r="BX164" i="1" s="1"/>
  <c r="AE163" i="1"/>
  <c r="CF163" i="1"/>
  <c r="CM163" i="1"/>
  <c r="CN163" i="1" s="1"/>
  <c r="CJ163" i="1"/>
  <c r="H163" i="1"/>
  <c r="J163" i="1" s="1"/>
  <c r="BV163" i="1"/>
  <c r="BR164" i="1" s="1"/>
  <c r="BU164" i="1" s="1"/>
  <c r="U166" i="1"/>
  <c r="T166" i="1"/>
  <c r="BI165" i="1"/>
  <c r="BH165" i="1" s="1"/>
  <c r="BG166" i="1" s="1"/>
  <c r="BJ166" i="1" l="1"/>
  <c r="BO168" i="1"/>
  <c r="BL169" i="1"/>
  <c r="AG166" i="1"/>
  <c r="AJ165" i="1"/>
  <c r="AK165" i="1" s="1"/>
  <c r="BT164" i="1"/>
  <c r="BS164" i="1" s="1"/>
  <c r="AW156" i="1"/>
  <c r="AV156" i="1"/>
  <c r="AS157" i="1" s="1"/>
  <c r="AN165" i="1"/>
  <c r="AM165" i="1"/>
  <c r="BZ164" i="1"/>
  <c r="BY164" i="1"/>
  <c r="CE164" i="1"/>
  <c r="CD164" i="1"/>
  <c r="CG163" i="1"/>
  <c r="E164" i="1"/>
  <c r="F164" i="1" s="1"/>
  <c r="AD164" i="1" s="1"/>
  <c r="Y164" i="1"/>
  <c r="AA164" i="1" s="1"/>
  <c r="V166" i="1"/>
  <c r="O167" i="1" s="1"/>
  <c r="G166" i="1"/>
  <c r="AH166" i="1" l="1"/>
  <c r="AI166" i="1"/>
  <c r="BM169" i="1"/>
  <c r="BN169" i="1"/>
  <c r="AU157" i="1"/>
  <c r="AZ157" i="1"/>
  <c r="BB157" i="1" s="1"/>
  <c r="BC157" i="1" s="1"/>
  <c r="AT157" i="1"/>
  <c r="AL166" i="1"/>
  <c r="AO165" i="1"/>
  <c r="AP165" i="1" s="1"/>
  <c r="N165" i="1"/>
  <c r="Z165" i="1" s="1"/>
  <c r="AE164" i="1"/>
  <c r="CF164" i="1"/>
  <c r="CG164" i="1" s="1"/>
  <c r="CJ164" i="1"/>
  <c r="CM164" i="1"/>
  <c r="CN164" i="1" s="1"/>
  <c r="BV164" i="1"/>
  <c r="BR165" i="1" s="1"/>
  <c r="BU165" i="1" s="1"/>
  <c r="H164" i="1"/>
  <c r="J164" i="1" s="1"/>
  <c r="CA164" i="1"/>
  <c r="CB164" i="1" s="1"/>
  <c r="BX165" i="1" s="1"/>
  <c r="BI166" i="1"/>
  <c r="BH166" i="1" s="1"/>
  <c r="BG167" i="1" s="1"/>
  <c r="U167" i="1"/>
  <c r="T167" i="1"/>
  <c r="BO169" i="1" l="1"/>
  <c r="BL170" i="1"/>
  <c r="AG167" i="1"/>
  <c r="AJ166" i="1"/>
  <c r="AK166" i="1" s="1"/>
  <c r="BJ167" i="1"/>
  <c r="BT165" i="1"/>
  <c r="BS165" i="1" s="1"/>
  <c r="AV157" i="1"/>
  <c r="AS158" i="1" s="1"/>
  <c r="AW157" i="1"/>
  <c r="AM166" i="1"/>
  <c r="AN166" i="1"/>
  <c r="CD165" i="1"/>
  <c r="E165" i="1"/>
  <c r="F165" i="1" s="1"/>
  <c r="AD165" i="1" s="1"/>
  <c r="AD2" i="1" s="1"/>
  <c r="CE165" i="1"/>
  <c r="BY165" i="1"/>
  <c r="BZ165" i="1"/>
  <c r="Y165" i="1"/>
  <c r="AA165" i="1" s="1"/>
  <c r="G167" i="1"/>
  <c r="V167" i="1"/>
  <c r="O168" i="1" s="1"/>
  <c r="AI167" i="1" l="1"/>
  <c r="AH167" i="1"/>
  <c r="BM170" i="1"/>
  <c r="BN170" i="1"/>
  <c r="CA165" i="1"/>
  <c r="CB165" i="1" s="1"/>
  <c r="BX166" i="1" s="1"/>
  <c r="BZ166" i="1" s="1"/>
  <c r="AT158" i="1"/>
  <c r="AU158" i="1"/>
  <c r="AZ158" i="1"/>
  <c r="BB158" i="1" s="1"/>
  <c r="BC158" i="1" s="1"/>
  <c r="AL167" i="1"/>
  <c r="AO166" i="1"/>
  <c r="AP166" i="1" s="1"/>
  <c r="N166" i="1"/>
  <c r="Z166" i="1" s="1"/>
  <c r="AE165" i="1"/>
  <c r="CF165" i="1"/>
  <c r="CJ165" i="1"/>
  <c r="CM165" i="1"/>
  <c r="CN165" i="1" s="1"/>
  <c r="BV165" i="1"/>
  <c r="BR166" i="1" s="1"/>
  <c r="BU166" i="1" s="1"/>
  <c r="H165" i="1"/>
  <c r="J165" i="1" s="1"/>
  <c r="U168" i="1"/>
  <c r="T168" i="1"/>
  <c r="BI167" i="1"/>
  <c r="BH167" i="1" s="1"/>
  <c r="BG168" i="1" s="1"/>
  <c r="BO170" i="1" l="1"/>
  <c r="BL171" i="1"/>
  <c r="AG168" i="1"/>
  <c r="AJ167" i="1"/>
  <c r="AK167" i="1" s="1"/>
  <c r="BJ168" i="1"/>
  <c r="CE166" i="1"/>
  <c r="BY166" i="1"/>
  <c r="CA166" i="1" s="1"/>
  <c r="BT166" i="1"/>
  <c r="BS166" i="1" s="1"/>
  <c r="AV158" i="1"/>
  <c r="AS159" i="1" s="1"/>
  <c r="AW158" i="1"/>
  <c r="AN167" i="1"/>
  <c r="AM167" i="1"/>
  <c r="E166" i="1"/>
  <c r="F166" i="1" s="1"/>
  <c r="CD166" i="1"/>
  <c r="CG165" i="1"/>
  <c r="Y166" i="1"/>
  <c r="AA166" i="1" s="1"/>
  <c r="V168" i="1"/>
  <c r="O169" i="1" s="1"/>
  <c r="G168" i="1"/>
  <c r="AI168" i="1" l="1"/>
  <c r="AH168" i="1"/>
  <c r="BN171" i="1"/>
  <c r="BM171" i="1"/>
  <c r="AZ159" i="1"/>
  <c r="BB159" i="1" s="1"/>
  <c r="BC159" i="1" s="1"/>
  <c r="AU159" i="1"/>
  <c r="AT159" i="1"/>
  <c r="AL168" i="1"/>
  <c r="AO167" i="1"/>
  <c r="AP167" i="1" s="1"/>
  <c r="N167" i="1"/>
  <c r="Z167" i="1" s="1"/>
  <c r="AE166" i="1"/>
  <c r="CM166" i="1"/>
  <c r="CN166" i="1" s="1"/>
  <c r="CJ166" i="1"/>
  <c r="CF166" i="1"/>
  <c r="BV166" i="1"/>
  <c r="BR167" i="1" s="1"/>
  <c r="BU167" i="1" s="1"/>
  <c r="H166" i="1"/>
  <c r="J166" i="1" s="1"/>
  <c r="CB166" i="1"/>
  <c r="BX167" i="1" s="1"/>
  <c r="BI168" i="1"/>
  <c r="BH168" i="1" s="1"/>
  <c r="BG169" i="1" s="1"/>
  <c r="U169" i="1"/>
  <c r="T169" i="1"/>
  <c r="BO171" i="1" l="1"/>
  <c r="BL172" i="1"/>
  <c r="AG169" i="1"/>
  <c r="AJ168" i="1"/>
  <c r="AK168" i="1" s="1"/>
  <c r="BJ169" i="1"/>
  <c r="BT167" i="1"/>
  <c r="BS167" i="1" s="1"/>
  <c r="AW159" i="1"/>
  <c r="AV159" i="1"/>
  <c r="AS160" i="1" s="1"/>
  <c r="AM168" i="1"/>
  <c r="AN168" i="1"/>
  <c r="E167" i="1"/>
  <c r="F167" i="1" s="1"/>
  <c r="BZ167" i="1"/>
  <c r="CE167" i="1"/>
  <c r="BY167" i="1"/>
  <c r="CG166" i="1"/>
  <c r="CD167" i="1"/>
  <c r="Y167" i="1"/>
  <c r="AA167" i="1" s="1"/>
  <c r="V169" i="1"/>
  <c r="O170" i="1" s="1"/>
  <c r="G169" i="1"/>
  <c r="AH169" i="1" l="1"/>
  <c r="AI169" i="1"/>
  <c r="BM172" i="1"/>
  <c r="BN172" i="1"/>
  <c r="CA167" i="1"/>
  <c r="CB167" i="1" s="1"/>
  <c r="BX168" i="1" s="1"/>
  <c r="BY168" i="1" s="1"/>
  <c r="AU160" i="1"/>
  <c r="AT160" i="1"/>
  <c r="AZ160" i="1"/>
  <c r="BB160" i="1" s="1"/>
  <c r="BC160" i="1" s="1"/>
  <c r="AL169" i="1"/>
  <c r="AO168" i="1"/>
  <c r="AP168" i="1" s="1"/>
  <c r="N168" i="1"/>
  <c r="Z168" i="1" s="1"/>
  <c r="AE167" i="1"/>
  <c r="CF167" i="1"/>
  <c r="CM167" i="1"/>
  <c r="CN167" i="1" s="1"/>
  <c r="CJ167" i="1"/>
  <c r="H167" i="1"/>
  <c r="J167" i="1" s="1"/>
  <c r="BV167" i="1"/>
  <c r="BR168" i="1" s="1"/>
  <c r="BU168" i="1" s="1"/>
  <c r="BI169" i="1"/>
  <c r="BH169" i="1" s="1"/>
  <c r="BG170" i="1" s="1"/>
  <c r="U170" i="1"/>
  <c r="T170" i="1"/>
  <c r="BO172" i="1" l="1"/>
  <c r="BL173" i="1"/>
  <c r="AG170" i="1"/>
  <c r="AJ169" i="1"/>
  <c r="AK169" i="1" s="1"/>
  <c r="BJ170" i="1"/>
  <c r="CE168" i="1"/>
  <c r="BZ168" i="1"/>
  <c r="CA168" i="1" s="1"/>
  <c r="BT168" i="1"/>
  <c r="BS168" i="1" s="1"/>
  <c r="AW160" i="1"/>
  <c r="AV160" i="1"/>
  <c r="AS161" i="1" s="1"/>
  <c r="AM169" i="1"/>
  <c r="AN169" i="1"/>
  <c r="E168" i="1"/>
  <c r="F168" i="1" s="1"/>
  <c r="CG167" i="1"/>
  <c r="CD168" i="1"/>
  <c r="Y168" i="1"/>
  <c r="AA168" i="1" s="1"/>
  <c r="V170" i="1"/>
  <c r="O171" i="1" s="1"/>
  <c r="G170" i="1"/>
  <c r="AH170" i="1" l="1"/>
  <c r="AI170" i="1"/>
  <c r="BM173" i="1"/>
  <c r="BN173" i="1"/>
  <c r="AZ161" i="1"/>
  <c r="BB161" i="1" s="1"/>
  <c r="BC161" i="1" s="1"/>
  <c r="AU161" i="1"/>
  <c r="AT161" i="1"/>
  <c r="AL170" i="1"/>
  <c r="AO169" i="1"/>
  <c r="AP169" i="1" s="1"/>
  <c r="N169" i="1"/>
  <c r="Z169" i="1" s="1"/>
  <c r="AE168" i="1"/>
  <c r="CM168" i="1"/>
  <c r="CN168" i="1" s="1"/>
  <c r="CF168" i="1"/>
  <c r="CB168" i="1"/>
  <c r="BX169" i="1" s="1"/>
  <c r="CJ168" i="1"/>
  <c r="BV168" i="1"/>
  <c r="BR169" i="1" s="1"/>
  <c r="BU169" i="1" s="1"/>
  <c r="H168" i="1"/>
  <c r="J168" i="1" s="1"/>
  <c r="BI170" i="1"/>
  <c r="BH170" i="1" s="1"/>
  <c r="BG171" i="1" s="1"/>
  <c r="U171" i="1"/>
  <c r="T171" i="1"/>
  <c r="BO173" i="1" l="1"/>
  <c r="BL174" i="1"/>
  <c r="AG171" i="1"/>
  <c r="AJ170" i="1"/>
  <c r="AK170" i="1" s="1"/>
  <c r="BJ171" i="1"/>
  <c r="BT169" i="1"/>
  <c r="BS169" i="1" s="1"/>
  <c r="AV161" i="1"/>
  <c r="AS162" i="1" s="1"/>
  <c r="AW161" i="1"/>
  <c r="AM170" i="1"/>
  <c r="AN170" i="1"/>
  <c r="CG168" i="1"/>
  <c r="CD169" i="1"/>
  <c r="E169" i="1"/>
  <c r="F169" i="1" s="1"/>
  <c r="BZ169" i="1"/>
  <c r="CE169" i="1"/>
  <c r="BY169" i="1"/>
  <c r="Y169" i="1"/>
  <c r="AA169" i="1" s="1"/>
  <c r="G171" i="1"/>
  <c r="V171" i="1"/>
  <c r="O172" i="1" s="1"/>
  <c r="AI171" i="1" l="1"/>
  <c r="AH171" i="1"/>
  <c r="BM174" i="1"/>
  <c r="BN174" i="1"/>
  <c r="AT162" i="1"/>
  <c r="AU162" i="1"/>
  <c r="AZ162" i="1"/>
  <c r="BB162" i="1" s="1"/>
  <c r="BC162" i="1" s="1"/>
  <c r="AL171" i="1"/>
  <c r="AO170" i="1"/>
  <c r="AP170" i="1" s="1"/>
  <c r="CA169" i="1"/>
  <c r="CB169" i="1" s="1"/>
  <c r="BX170" i="1" s="1"/>
  <c r="AE169" i="1"/>
  <c r="CF169" i="1"/>
  <c r="CJ169" i="1"/>
  <c r="CM169" i="1"/>
  <c r="CN169" i="1" s="1"/>
  <c r="H169" i="1"/>
  <c r="J169" i="1" s="1"/>
  <c r="BV169" i="1"/>
  <c r="BR170" i="1" s="1"/>
  <c r="BU170" i="1" s="1"/>
  <c r="N170" i="1"/>
  <c r="Z170" i="1" s="1"/>
  <c r="U172" i="1"/>
  <c r="T172" i="1"/>
  <c r="BI171" i="1"/>
  <c r="BH171" i="1" s="1"/>
  <c r="BG172" i="1" s="1"/>
  <c r="BO174" i="1" l="1"/>
  <c r="BL175" i="1"/>
  <c r="BJ172" i="1"/>
  <c r="AG172" i="1"/>
  <c r="AJ171" i="1"/>
  <c r="AK171" i="1" s="1"/>
  <c r="BT170" i="1"/>
  <c r="BS170" i="1" s="1"/>
  <c r="AW162" i="1"/>
  <c r="AV162" i="1"/>
  <c r="AS163" i="1" s="1"/>
  <c r="AN171" i="1"/>
  <c r="AM171" i="1"/>
  <c r="Y170" i="1"/>
  <c r="AA170" i="1" s="1"/>
  <c r="E170" i="1"/>
  <c r="F170" i="1" s="1"/>
  <c r="CG169" i="1"/>
  <c r="CD170" i="1"/>
  <c r="BY170" i="1"/>
  <c r="BZ170" i="1"/>
  <c r="CE170" i="1"/>
  <c r="V172" i="1"/>
  <c r="O173" i="1" s="1"/>
  <c r="G172" i="1"/>
  <c r="AI172" i="1" l="1"/>
  <c r="AH172" i="1"/>
  <c r="CA170" i="1"/>
  <c r="CB170" i="1" s="1"/>
  <c r="BX171" i="1" s="1"/>
  <c r="CE171" i="1" s="1"/>
  <c r="BM175" i="1"/>
  <c r="BN175" i="1"/>
  <c r="AT163" i="1"/>
  <c r="AZ163" i="1"/>
  <c r="BB163" i="1" s="1"/>
  <c r="BC163" i="1" s="1"/>
  <c r="AU163" i="1"/>
  <c r="AL172" i="1"/>
  <c r="AO171" i="1"/>
  <c r="AP171" i="1" s="1"/>
  <c r="AE170" i="1"/>
  <c r="CM170" i="1"/>
  <c r="CN170" i="1" s="1"/>
  <c r="CJ170" i="1"/>
  <c r="CF170" i="1"/>
  <c r="H170" i="1"/>
  <c r="J170" i="1" s="1"/>
  <c r="BV170" i="1"/>
  <c r="BR171" i="1" s="1"/>
  <c r="BU171" i="1" s="1"/>
  <c r="N171" i="1"/>
  <c r="Z171" i="1" s="1"/>
  <c r="BI172" i="1"/>
  <c r="BH172" i="1" s="1"/>
  <c r="BG173" i="1" s="1"/>
  <c r="U173" i="1"/>
  <c r="T173" i="1"/>
  <c r="BY171" i="1" l="1"/>
  <c r="BO175" i="1"/>
  <c r="BL176" i="1"/>
  <c r="BZ171" i="1"/>
  <c r="AG173" i="1"/>
  <c r="AJ172" i="1"/>
  <c r="AK172" i="1" s="1"/>
  <c r="BJ173" i="1"/>
  <c r="BT171" i="1"/>
  <c r="BS171" i="1" s="1"/>
  <c r="AW163" i="1"/>
  <c r="AV163" i="1"/>
  <c r="AS164" i="1" s="1"/>
  <c r="AN172" i="1"/>
  <c r="AM172" i="1"/>
  <c r="E171" i="1"/>
  <c r="F171" i="1" s="1"/>
  <c r="Y171" i="1"/>
  <c r="AA171" i="1" s="1"/>
  <c r="CG170" i="1"/>
  <c r="CD171" i="1"/>
  <c r="G173" i="1"/>
  <c r="V173" i="1"/>
  <c r="O174" i="1" s="1"/>
  <c r="CA171" i="1" l="1"/>
  <c r="CB171" i="1" s="1"/>
  <c r="BX172" i="1" s="1"/>
  <c r="CE172" i="1" s="1"/>
  <c r="AI173" i="1"/>
  <c r="AH173" i="1"/>
  <c r="BN176" i="1"/>
  <c r="BM176" i="1"/>
  <c r="AZ164" i="1"/>
  <c r="BB164" i="1" s="1"/>
  <c r="BC164" i="1" s="1"/>
  <c r="AU164" i="1"/>
  <c r="AT164" i="1"/>
  <c r="AL173" i="1"/>
  <c r="AO172" i="1"/>
  <c r="AP172" i="1" s="1"/>
  <c r="N172" i="1"/>
  <c r="Z172" i="1" s="1"/>
  <c r="AE171" i="1"/>
  <c r="CJ171" i="1"/>
  <c r="CM171" i="1"/>
  <c r="CN171" i="1" s="1"/>
  <c r="CF171" i="1"/>
  <c r="BV171" i="1"/>
  <c r="BR172" i="1" s="1"/>
  <c r="BU172" i="1" s="1"/>
  <c r="H171" i="1"/>
  <c r="J171" i="1" s="1"/>
  <c r="U174" i="1"/>
  <c r="T174" i="1"/>
  <c r="BI173" i="1"/>
  <c r="BH173" i="1" s="1"/>
  <c r="BG174" i="1" s="1"/>
  <c r="BZ172" i="1" l="1"/>
  <c r="BY172" i="1"/>
  <c r="BO176" i="1"/>
  <c r="BL177" i="1"/>
  <c r="AG174" i="1"/>
  <c r="AJ173" i="1"/>
  <c r="AK173" i="1" s="1"/>
  <c r="BJ174" i="1"/>
  <c r="BT172" i="1"/>
  <c r="BS172" i="1" s="1"/>
  <c r="AV164" i="1"/>
  <c r="AS165" i="1" s="1"/>
  <c r="AW164" i="1"/>
  <c r="AN173" i="1"/>
  <c r="AM173" i="1"/>
  <c r="CG171" i="1"/>
  <c r="CD172" i="1"/>
  <c r="E172" i="1"/>
  <c r="F172" i="1" s="1"/>
  <c r="Y172" i="1"/>
  <c r="AA172" i="1" s="1"/>
  <c r="V174" i="1"/>
  <c r="O175" i="1" s="1"/>
  <c r="G174" i="1"/>
  <c r="CA172" i="1" l="1"/>
  <c r="CB172" i="1" s="1"/>
  <c r="BX173" i="1" s="1"/>
  <c r="AH174" i="1"/>
  <c r="AI174" i="1"/>
  <c r="BN177" i="1"/>
  <c r="BM177" i="1"/>
  <c r="AZ165" i="1"/>
  <c r="BB165" i="1" s="1"/>
  <c r="BC165" i="1" s="1"/>
  <c r="AT165" i="1"/>
  <c r="AU165" i="1"/>
  <c r="AL174" i="1"/>
  <c r="AO173" i="1"/>
  <c r="AP173" i="1" s="1"/>
  <c r="N173" i="1"/>
  <c r="Z173" i="1" s="1"/>
  <c r="AE172" i="1"/>
  <c r="CJ172" i="1"/>
  <c r="CF172" i="1"/>
  <c r="CM172" i="1"/>
  <c r="CN172" i="1" s="1"/>
  <c r="BV172" i="1"/>
  <c r="BR173" i="1" s="1"/>
  <c r="BU173" i="1" s="1"/>
  <c r="H172" i="1"/>
  <c r="J172" i="1" s="1"/>
  <c r="BI174" i="1"/>
  <c r="BH174" i="1" s="1"/>
  <c r="BG175" i="1" s="1"/>
  <c r="U175" i="1"/>
  <c r="T175" i="1"/>
  <c r="BO177" i="1" l="1"/>
  <c r="BL178" i="1"/>
  <c r="AG175" i="1"/>
  <c r="AJ174" i="1"/>
  <c r="AK174" i="1" s="1"/>
  <c r="BJ175" i="1"/>
  <c r="BT173" i="1"/>
  <c r="BS173" i="1" s="1"/>
  <c r="AW165" i="1"/>
  <c r="AV165" i="1"/>
  <c r="AS166" i="1" s="1"/>
  <c r="AM174" i="1"/>
  <c r="AN174" i="1"/>
  <c r="BZ173" i="1"/>
  <c r="BY173" i="1"/>
  <c r="CE173" i="1"/>
  <c r="CG172" i="1"/>
  <c r="CD173" i="1"/>
  <c r="E173" i="1"/>
  <c r="F173" i="1" s="1"/>
  <c r="Y173" i="1"/>
  <c r="AA173" i="1" s="1"/>
  <c r="V175" i="1"/>
  <c r="O176" i="1" s="1"/>
  <c r="G175" i="1"/>
  <c r="AI175" i="1" l="1"/>
  <c r="AH175" i="1"/>
  <c r="BM178" i="1"/>
  <c r="BN178" i="1"/>
  <c r="AU166" i="1"/>
  <c r="AT166" i="1"/>
  <c r="AZ166" i="1"/>
  <c r="BB166" i="1" s="1"/>
  <c r="BC166" i="1" s="1"/>
  <c r="AL175" i="1"/>
  <c r="AO174" i="1"/>
  <c r="AP174" i="1" s="1"/>
  <c r="AE173" i="1"/>
  <c r="CJ173" i="1"/>
  <c r="CM173" i="1"/>
  <c r="CN173" i="1" s="1"/>
  <c r="CF173" i="1"/>
  <c r="BV173" i="1"/>
  <c r="BR174" i="1" s="1"/>
  <c r="BU174" i="1" s="1"/>
  <c r="H173" i="1"/>
  <c r="J173" i="1" s="1"/>
  <c r="N174" i="1"/>
  <c r="Z174" i="1" s="1"/>
  <c r="CA173" i="1"/>
  <c r="CB173" i="1" s="1"/>
  <c r="BX174" i="1" s="1"/>
  <c r="BI175" i="1"/>
  <c r="BH175" i="1" s="1"/>
  <c r="BG176" i="1" s="1"/>
  <c r="U176" i="1"/>
  <c r="T176" i="1"/>
  <c r="BO178" i="1" l="1"/>
  <c r="BL179" i="1"/>
  <c r="AG176" i="1"/>
  <c r="AJ175" i="1"/>
  <c r="AK175" i="1" s="1"/>
  <c r="BJ176" i="1"/>
  <c r="BT174" i="1"/>
  <c r="BS174" i="1" s="1"/>
  <c r="AV166" i="1"/>
  <c r="AS167" i="1" s="1"/>
  <c r="AW166" i="1"/>
  <c r="AM175" i="1"/>
  <c r="AN175" i="1"/>
  <c r="CE174" i="1"/>
  <c r="BZ174" i="1"/>
  <c r="BY174" i="1"/>
  <c r="CG173" i="1"/>
  <c r="CD174" i="1"/>
  <c r="E174" i="1"/>
  <c r="F174" i="1" s="1"/>
  <c r="Y174" i="1"/>
  <c r="AA174" i="1" s="1"/>
  <c r="V176" i="1"/>
  <c r="O177" i="1" s="1"/>
  <c r="G176" i="1"/>
  <c r="AH176" i="1" l="1"/>
  <c r="AI176" i="1"/>
  <c r="BN179" i="1"/>
  <c r="BM179" i="1"/>
  <c r="AZ167" i="1"/>
  <c r="BB167" i="1" s="1"/>
  <c r="BC167" i="1" s="1"/>
  <c r="AT167" i="1"/>
  <c r="AU167" i="1"/>
  <c r="AL176" i="1"/>
  <c r="AO175" i="1"/>
  <c r="AP175" i="1" s="1"/>
  <c r="N175" i="1"/>
  <c r="Z175" i="1" s="1"/>
  <c r="AE174" i="1"/>
  <c r="CM174" i="1"/>
  <c r="CN174" i="1" s="1"/>
  <c r="CJ174" i="1"/>
  <c r="CF174" i="1"/>
  <c r="H174" i="1"/>
  <c r="BV174" i="1"/>
  <c r="BR175" i="1" s="1"/>
  <c r="BU175" i="1" s="1"/>
  <c r="CA174" i="1"/>
  <c r="CB174" i="1" s="1"/>
  <c r="BX175" i="1" s="1"/>
  <c r="BI176" i="1"/>
  <c r="BH176" i="1" s="1"/>
  <c r="BG177" i="1" s="1"/>
  <c r="U177" i="1"/>
  <c r="T177" i="1"/>
  <c r="BO179" i="1" l="1"/>
  <c r="BL180" i="1"/>
  <c r="AG177" i="1"/>
  <c r="AJ176" i="1"/>
  <c r="AK176" i="1" s="1"/>
  <c r="BJ177" i="1"/>
  <c r="BT175" i="1"/>
  <c r="BS175" i="1" s="1"/>
  <c r="AV167" i="1"/>
  <c r="AS168" i="1" s="1"/>
  <c r="AW167" i="1"/>
  <c r="AN176" i="1"/>
  <c r="AM176" i="1"/>
  <c r="BZ175" i="1"/>
  <c r="BY175" i="1"/>
  <c r="CE175" i="1"/>
  <c r="CG174" i="1"/>
  <c r="CD175" i="1"/>
  <c r="E175" i="1"/>
  <c r="F175" i="1" s="1"/>
  <c r="Y175" i="1"/>
  <c r="AA175" i="1" s="1"/>
  <c r="G177" i="1"/>
  <c r="V177" i="1"/>
  <c r="O178" i="1" s="1"/>
  <c r="AH177" i="1" l="1"/>
  <c r="AI177" i="1"/>
  <c r="BM180" i="1"/>
  <c r="BN180" i="1"/>
  <c r="AT168" i="1"/>
  <c r="AZ168" i="1"/>
  <c r="BB168" i="1" s="1"/>
  <c r="BC168" i="1" s="1"/>
  <c r="AU168" i="1"/>
  <c r="AL177" i="1"/>
  <c r="AO176" i="1"/>
  <c r="AP176" i="1" s="1"/>
  <c r="N176" i="1"/>
  <c r="Z176" i="1" s="1"/>
  <c r="AE175" i="1"/>
  <c r="CM175" i="1"/>
  <c r="CN175" i="1" s="1"/>
  <c r="CF175" i="1"/>
  <c r="CJ175" i="1"/>
  <c r="H175" i="1"/>
  <c r="BV175" i="1"/>
  <c r="BR176" i="1" s="1"/>
  <c r="BU176" i="1" s="1"/>
  <c r="CA175" i="1"/>
  <c r="CB175" i="1" s="1"/>
  <c r="BX176" i="1" s="1"/>
  <c r="U178" i="1"/>
  <c r="T178" i="1"/>
  <c r="BI177" i="1"/>
  <c r="BH177" i="1" s="1"/>
  <c r="BG178" i="1" s="1"/>
  <c r="AY186" i="1"/>
  <c r="BA186" i="1" s="1"/>
  <c r="BO180" i="1" l="1"/>
  <c r="BL181" i="1"/>
  <c r="AG178" i="1"/>
  <c r="AJ177" i="1"/>
  <c r="AK177" i="1" s="1"/>
  <c r="BJ178" i="1"/>
  <c r="BT176" i="1"/>
  <c r="BS176" i="1" s="1"/>
  <c r="AY187" i="1"/>
  <c r="BA187" i="1" s="1"/>
  <c r="AV168" i="1"/>
  <c r="AW168" i="1"/>
  <c r="AM177" i="1"/>
  <c r="AN177" i="1"/>
  <c r="CE176" i="1"/>
  <c r="BY176" i="1"/>
  <c r="BZ176" i="1"/>
  <c r="CG175" i="1"/>
  <c r="CD176" i="1"/>
  <c r="E176" i="1"/>
  <c r="F176" i="1" s="1"/>
  <c r="Y176" i="1"/>
  <c r="AA176" i="1" s="1"/>
  <c r="V178" i="1"/>
  <c r="O179" i="1" s="1"/>
  <c r="G178" i="1"/>
  <c r="CA176" i="1" l="1"/>
  <c r="CB176" i="1" s="1"/>
  <c r="BX177" i="1" s="1"/>
  <c r="AH178" i="1"/>
  <c r="AI178" i="1"/>
  <c r="BN181" i="1"/>
  <c r="BM181" i="1"/>
  <c r="AY188" i="1"/>
  <c r="BA188" i="1" s="1"/>
  <c r="AS169" i="1"/>
  <c r="AL178" i="1"/>
  <c r="AO177" i="1"/>
  <c r="AP177" i="1" s="1"/>
  <c r="N177" i="1"/>
  <c r="Z177" i="1" s="1"/>
  <c r="AE176" i="1"/>
  <c r="CM176" i="1"/>
  <c r="CN176" i="1" s="1"/>
  <c r="CF176" i="1"/>
  <c r="CJ176" i="1"/>
  <c r="BV176" i="1"/>
  <c r="BR177" i="1" s="1"/>
  <c r="BU177" i="1" s="1"/>
  <c r="H176" i="1"/>
  <c r="BI178" i="1"/>
  <c r="BH178" i="1" s="1"/>
  <c r="BG179" i="1" s="1"/>
  <c r="U179" i="1"/>
  <c r="T179" i="1"/>
  <c r="BO181" i="1" l="1"/>
  <c r="BL182" i="1"/>
  <c r="AG179" i="1"/>
  <c r="AJ178" i="1"/>
  <c r="AK178" i="1" s="1"/>
  <c r="BJ179" i="1"/>
  <c r="BT177" i="1"/>
  <c r="BS177" i="1" s="1"/>
  <c r="AY189" i="1"/>
  <c r="BA189" i="1" s="1"/>
  <c r="AZ169" i="1"/>
  <c r="BB169" i="1" s="1"/>
  <c r="BC169" i="1" s="1"/>
  <c r="AU169" i="1"/>
  <c r="AT169" i="1"/>
  <c r="AM178" i="1"/>
  <c r="AN178" i="1"/>
  <c r="CE177" i="1"/>
  <c r="BZ177" i="1"/>
  <c r="BY177" i="1"/>
  <c r="CG176" i="1"/>
  <c r="CD177" i="1"/>
  <c r="E177" i="1"/>
  <c r="F177" i="1" s="1"/>
  <c r="Y177" i="1"/>
  <c r="AA177" i="1" s="1"/>
  <c r="V179" i="1"/>
  <c r="O180" i="1" s="1"/>
  <c r="G179" i="1"/>
  <c r="AH179" i="1" l="1"/>
  <c r="AI179" i="1"/>
  <c r="BN182" i="1"/>
  <c r="BM182" i="1"/>
  <c r="AY190" i="1"/>
  <c r="BA190" i="1" s="1"/>
  <c r="AW169" i="1"/>
  <c r="AV169" i="1"/>
  <c r="AL179" i="1"/>
  <c r="AO178" i="1"/>
  <c r="AP178" i="1" s="1"/>
  <c r="N178" i="1"/>
  <c r="Z178" i="1" s="1"/>
  <c r="AE177" i="1"/>
  <c r="CM177" i="1"/>
  <c r="CN177" i="1" s="1"/>
  <c r="CF177" i="1"/>
  <c r="CJ177" i="1"/>
  <c r="BV177" i="1"/>
  <c r="BR178" i="1" s="1"/>
  <c r="BU178" i="1" s="1"/>
  <c r="H177" i="1"/>
  <c r="CA177" i="1"/>
  <c r="CB177" i="1" s="1"/>
  <c r="BX178" i="1" s="1"/>
  <c r="BI179" i="1"/>
  <c r="BH179" i="1" s="1"/>
  <c r="BG180" i="1" s="1"/>
  <c r="U180" i="1"/>
  <c r="T180" i="1"/>
  <c r="BO182" i="1" l="1"/>
  <c r="BL183" i="1"/>
  <c r="AJ179" i="1"/>
  <c r="AK179" i="1" s="1"/>
  <c r="AG180" i="1"/>
  <c r="BJ180" i="1"/>
  <c r="BT178" i="1"/>
  <c r="BS178" i="1" s="1"/>
  <c r="AY191" i="1"/>
  <c r="BA191" i="1" s="1"/>
  <c r="AY192" i="1" s="1"/>
  <c r="BA192" i="1" s="1"/>
  <c r="AY193" i="1" s="1"/>
  <c r="BA193" i="1" s="1"/>
  <c r="AY194" i="1" s="1"/>
  <c r="BA194" i="1" s="1"/>
  <c r="AY195" i="1" s="1"/>
  <c r="BA195" i="1" s="1"/>
  <c r="AY196" i="1" s="1"/>
  <c r="BA196" i="1" s="1"/>
  <c r="AY197" i="1" s="1"/>
  <c r="BA197" i="1" s="1"/>
  <c r="AY198" i="1" s="1"/>
  <c r="BA198" i="1" s="1"/>
  <c r="AY199" i="1" s="1"/>
  <c r="BA199" i="1" s="1"/>
  <c r="AY200" i="1" s="1"/>
  <c r="BA200" i="1" s="1"/>
  <c r="AY201" i="1" s="1"/>
  <c r="BA201" i="1" s="1"/>
  <c r="AY202" i="1" s="1"/>
  <c r="BA202" i="1" s="1"/>
  <c r="AY203" i="1" s="1"/>
  <c r="BA203" i="1" s="1"/>
  <c r="AY204" i="1" s="1"/>
  <c r="BA204" i="1" s="1"/>
  <c r="AY205" i="1" s="1"/>
  <c r="BA205" i="1" s="1"/>
  <c r="AY206" i="1" s="1"/>
  <c r="BA206" i="1" s="1"/>
  <c r="AY207" i="1" s="1"/>
  <c r="BA207" i="1" s="1"/>
  <c r="AY208" i="1" s="1"/>
  <c r="BA208" i="1" s="1"/>
  <c r="AY209" i="1" s="1"/>
  <c r="BA209" i="1" s="1"/>
  <c r="AS170" i="1"/>
  <c r="AM179" i="1"/>
  <c r="AN179" i="1"/>
  <c r="CG177" i="1"/>
  <c r="CD178" i="1"/>
  <c r="BY178" i="1"/>
  <c r="CE178" i="1"/>
  <c r="BZ178" i="1"/>
  <c r="E178" i="1"/>
  <c r="F178" i="1" s="1"/>
  <c r="Y178" i="1"/>
  <c r="AA178" i="1" s="1"/>
  <c r="V180" i="1"/>
  <c r="O181" i="1" s="1"/>
  <c r="G180" i="1"/>
  <c r="AH180" i="1" l="1"/>
  <c r="AI180" i="1"/>
  <c r="BM183" i="1"/>
  <c r="BN183" i="1"/>
  <c r="CA178" i="1"/>
  <c r="CB178" i="1" s="1"/>
  <c r="BX179" i="1" s="1"/>
  <c r="BY179" i="1" s="1"/>
  <c r="AZ170" i="1"/>
  <c r="BB170" i="1" s="1"/>
  <c r="BC170" i="1" s="1"/>
  <c r="AU170" i="1"/>
  <c r="AT170" i="1"/>
  <c r="AL180" i="1"/>
  <c r="AO179" i="1"/>
  <c r="AP179" i="1" s="1"/>
  <c r="AE178" i="1"/>
  <c r="CJ178" i="1"/>
  <c r="CF178" i="1"/>
  <c r="CM178" i="1"/>
  <c r="CN178" i="1" s="1"/>
  <c r="BV178" i="1"/>
  <c r="BR179" i="1" s="1"/>
  <c r="BU179" i="1" s="1"/>
  <c r="H178" i="1"/>
  <c r="N179" i="1"/>
  <c r="Z179" i="1" s="1"/>
  <c r="BI180" i="1"/>
  <c r="BH180" i="1" s="1"/>
  <c r="BG181" i="1" s="1"/>
  <c r="U181" i="1"/>
  <c r="T181" i="1"/>
  <c r="BO183" i="1" l="1"/>
  <c r="BL184" i="1"/>
  <c r="AG181" i="1"/>
  <c r="AJ180" i="1"/>
  <c r="AK180" i="1" s="1"/>
  <c r="BJ181" i="1"/>
  <c r="CE179" i="1"/>
  <c r="BZ179" i="1"/>
  <c r="CA179" i="1" s="1"/>
  <c r="BT179" i="1"/>
  <c r="BS179" i="1" s="1"/>
  <c r="AV170" i="1"/>
  <c r="AW170" i="1"/>
  <c r="AM180" i="1"/>
  <c r="AN180" i="1"/>
  <c r="E179" i="1"/>
  <c r="F179" i="1" s="1"/>
  <c r="Y179" i="1"/>
  <c r="AA179" i="1" s="1"/>
  <c r="CG178" i="1"/>
  <c r="CD179" i="1"/>
  <c r="V181" i="1"/>
  <c r="O182" i="1" s="1"/>
  <c r="G181" i="1"/>
  <c r="CB179" i="1" l="1"/>
  <c r="BX180" i="1" s="1"/>
  <c r="BY180" i="1" s="1"/>
  <c r="AI181" i="1"/>
  <c r="AH181" i="1"/>
  <c r="BN184" i="1"/>
  <c r="BM184" i="1"/>
  <c r="AS171" i="1"/>
  <c r="AL181" i="1"/>
  <c r="AO180" i="1"/>
  <c r="AP180" i="1" s="1"/>
  <c r="N180" i="1"/>
  <c r="Z180" i="1" s="1"/>
  <c r="AE179" i="1"/>
  <c r="CM179" i="1"/>
  <c r="CN179" i="1" s="1"/>
  <c r="CF179" i="1"/>
  <c r="CJ179" i="1"/>
  <c r="BV179" i="1"/>
  <c r="BR180" i="1" s="1"/>
  <c r="BU180" i="1" s="1"/>
  <c r="H179" i="1"/>
  <c r="BI181" i="1"/>
  <c r="BH181" i="1" s="1"/>
  <c r="BG182" i="1" s="1"/>
  <c r="U182" i="1"/>
  <c r="T182" i="1"/>
  <c r="BZ180" i="1" l="1"/>
  <c r="CA180" i="1" s="1"/>
  <c r="BO184" i="1"/>
  <c r="BL185" i="1"/>
  <c r="CE180" i="1"/>
  <c r="AG182" i="1"/>
  <c r="AJ181" i="1"/>
  <c r="AK181" i="1" s="1"/>
  <c r="BJ182" i="1"/>
  <c r="BT180" i="1"/>
  <c r="BS180" i="1" s="1"/>
  <c r="AT171" i="1"/>
  <c r="AZ171" i="1"/>
  <c r="BB171" i="1" s="1"/>
  <c r="BC171" i="1" s="1"/>
  <c r="AU171" i="1"/>
  <c r="AM181" i="1"/>
  <c r="AN181" i="1"/>
  <c r="CG179" i="1"/>
  <c r="CD180" i="1"/>
  <c r="E180" i="1"/>
  <c r="F180" i="1" s="1"/>
  <c r="Y180" i="1"/>
  <c r="AA180" i="1" s="1"/>
  <c r="V182" i="1"/>
  <c r="O183" i="1" s="1"/>
  <c r="G182" i="1"/>
  <c r="AI182" i="1" l="1"/>
  <c r="AH182" i="1"/>
  <c r="BN185" i="1"/>
  <c r="BM185" i="1"/>
  <c r="AV171" i="1"/>
  <c r="AW171" i="1"/>
  <c r="AL182" i="1"/>
  <c r="AO181" i="1"/>
  <c r="AP181" i="1" s="1"/>
  <c r="N181" i="1"/>
  <c r="Z181" i="1" s="1"/>
  <c r="AE180" i="1"/>
  <c r="CF180" i="1"/>
  <c r="CJ180" i="1"/>
  <c r="CM180" i="1"/>
  <c r="CN180" i="1" s="1"/>
  <c r="BV180" i="1"/>
  <c r="BR181" i="1" s="1"/>
  <c r="BU181" i="1" s="1"/>
  <c r="H180" i="1"/>
  <c r="CB180" i="1"/>
  <c r="BX181" i="1" s="1"/>
  <c r="BI182" i="1"/>
  <c r="BH182" i="1" s="1"/>
  <c r="BG183" i="1" s="1"/>
  <c r="U183" i="1"/>
  <c r="T183" i="1"/>
  <c r="BO185" i="1" l="1"/>
  <c r="BL186" i="1"/>
  <c r="AJ182" i="1"/>
  <c r="AK182" i="1" s="1"/>
  <c r="AG183" i="1"/>
  <c r="BJ183" i="1"/>
  <c r="BT181" i="1"/>
  <c r="BS181" i="1" s="1"/>
  <c r="AS172" i="1"/>
  <c r="AM182" i="1"/>
  <c r="AN182" i="1"/>
  <c r="BZ181" i="1"/>
  <c r="CE181" i="1"/>
  <c r="BY181" i="1"/>
  <c r="CG180" i="1"/>
  <c r="CD181" i="1"/>
  <c r="E181" i="1"/>
  <c r="F181" i="1" s="1"/>
  <c r="Y181" i="1"/>
  <c r="AA181" i="1" s="1"/>
  <c r="V183" i="1"/>
  <c r="O184" i="1" s="1"/>
  <c r="G183" i="1"/>
  <c r="AH183" i="1" l="1"/>
  <c r="AI183" i="1"/>
  <c r="BM186" i="1"/>
  <c r="BN186" i="1"/>
  <c r="AT172" i="1"/>
  <c r="AZ172" i="1"/>
  <c r="BB172" i="1" s="1"/>
  <c r="BC172" i="1" s="1"/>
  <c r="AU172" i="1"/>
  <c r="AL183" i="1"/>
  <c r="AO182" i="1"/>
  <c r="AP182" i="1" s="1"/>
  <c r="N182" i="1"/>
  <c r="Z182" i="1" s="1"/>
  <c r="AE181" i="1"/>
  <c r="CF181" i="1"/>
  <c r="CJ181" i="1"/>
  <c r="CM181" i="1"/>
  <c r="CN181" i="1" s="1"/>
  <c r="BV181" i="1"/>
  <c r="BR182" i="1" s="1"/>
  <c r="BU182" i="1" s="1"/>
  <c r="H181" i="1"/>
  <c r="CA181" i="1"/>
  <c r="CB181" i="1" s="1"/>
  <c r="BX182" i="1" s="1"/>
  <c r="BI183" i="1"/>
  <c r="BH183" i="1" s="1"/>
  <c r="BG184" i="1" s="1"/>
  <c r="U184" i="1"/>
  <c r="T184" i="1"/>
  <c r="BO186" i="1" l="1"/>
  <c r="BL187" i="1"/>
  <c r="AJ183" i="1"/>
  <c r="AK183" i="1" s="1"/>
  <c r="AG184" i="1"/>
  <c r="BJ184" i="1"/>
  <c r="BT182" i="1"/>
  <c r="BS182" i="1" s="1"/>
  <c r="AW172" i="1"/>
  <c r="AV172" i="1"/>
  <c r="AM183" i="1"/>
  <c r="AN183" i="1"/>
  <c r="BY182" i="1"/>
  <c r="CE182" i="1"/>
  <c r="BZ182" i="1"/>
  <c r="CG181" i="1"/>
  <c r="CD182" i="1"/>
  <c r="E182" i="1"/>
  <c r="F182" i="1" s="1"/>
  <c r="Y182" i="1"/>
  <c r="AA182" i="1" s="1"/>
  <c r="G184" i="1"/>
  <c r="V184" i="1"/>
  <c r="O185" i="1" s="1"/>
  <c r="AH184" i="1" l="1"/>
  <c r="AI184" i="1"/>
  <c r="BN187" i="1"/>
  <c r="BM187" i="1"/>
  <c r="CA182" i="1"/>
  <c r="CB182" i="1" s="1"/>
  <c r="BX183" i="1" s="1"/>
  <c r="AS173" i="1"/>
  <c r="AL184" i="1"/>
  <c r="AO183" i="1"/>
  <c r="AP183" i="1" s="1"/>
  <c r="AE182" i="1"/>
  <c r="CJ182" i="1"/>
  <c r="CF182" i="1"/>
  <c r="CM182" i="1"/>
  <c r="CN182" i="1" s="1"/>
  <c r="H182" i="1"/>
  <c r="BV182" i="1"/>
  <c r="BR183" i="1" s="1"/>
  <c r="BU183" i="1" s="1"/>
  <c r="N183" i="1"/>
  <c r="Z183" i="1" s="1"/>
  <c r="U185" i="1"/>
  <c r="T185" i="1"/>
  <c r="BI184" i="1"/>
  <c r="BH184" i="1" s="1"/>
  <c r="BG185" i="1" s="1"/>
  <c r="BJ185" i="1" l="1"/>
  <c r="BO187" i="1"/>
  <c r="BL188" i="1"/>
  <c r="AG185" i="1"/>
  <c r="AJ184" i="1"/>
  <c r="AK184" i="1" s="1"/>
  <c r="BT183" i="1"/>
  <c r="BS183" i="1" s="1"/>
  <c r="AZ173" i="1"/>
  <c r="BB173" i="1" s="1"/>
  <c r="BC173" i="1" s="1"/>
  <c r="AT173" i="1"/>
  <c r="AU173" i="1"/>
  <c r="AM184" i="1"/>
  <c r="AN184" i="1"/>
  <c r="Y183" i="1"/>
  <c r="AA183" i="1" s="1"/>
  <c r="N184" i="1" s="1"/>
  <c r="E183" i="1"/>
  <c r="F183" i="1" s="1"/>
  <c r="CG182" i="1"/>
  <c r="CD183" i="1"/>
  <c r="BY183" i="1"/>
  <c r="CE183" i="1"/>
  <c r="BZ183" i="1"/>
  <c r="V185" i="1"/>
  <c r="O186" i="1" s="1"/>
  <c r="G185" i="1"/>
  <c r="AH185" i="1" l="1"/>
  <c r="AI185" i="1"/>
  <c r="BN188" i="1"/>
  <c r="BM188" i="1"/>
  <c r="AW173" i="1"/>
  <c r="AV173" i="1"/>
  <c r="AS174" i="1" s="1"/>
  <c r="AL185" i="1"/>
  <c r="AO184" i="1"/>
  <c r="AP184" i="1" s="1"/>
  <c r="Z184" i="1"/>
  <c r="Y184" i="1"/>
  <c r="AE183" i="1"/>
  <c r="CF183" i="1"/>
  <c r="CM183" i="1"/>
  <c r="CN183" i="1" s="1"/>
  <c r="CJ183" i="1"/>
  <c r="H183" i="1"/>
  <c r="BV183" i="1"/>
  <c r="BR184" i="1" s="1"/>
  <c r="BU184" i="1" s="1"/>
  <c r="CA183" i="1"/>
  <c r="CB183" i="1" s="1"/>
  <c r="BX184" i="1" s="1"/>
  <c r="BI185" i="1"/>
  <c r="BH185" i="1" s="1"/>
  <c r="BG186" i="1" s="1"/>
  <c r="U186" i="1"/>
  <c r="T186" i="1"/>
  <c r="BO188" i="1" l="1"/>
  <c r="BL189" i="1"/>
  <c r="AJ185" i="1"/>
  <c r="AK185" i="1" s="1"/>
  <c r="AG186" i="1"/>
  <c r="BJ186" i="1"/>
  <c r="BT184" i="1"/>
  <c r="BS184" i="1" s="1"/>
  <c r="AT174" i="1"/>
  <c r="AU174" i="1"/>
  <c r="AZ174" i="1"/>
  <c r="BB174" i="1" s="1"/>
  <c r="BC174" i="1" s="1"/>
  <c r="AM185" i="1"/>
  <c r="AN185" i="1"/>
  <c r="BZ184" i="1"/>
  <c r="CE184" i="1"/>
  <c r="BY184" i="1"/>
  <c r="CG183" i="1"/>
  <c r="CD184" i="1"/>
  <c r="E184" i="1"/>
  <c r="F184" i="1" s="1"/>
  <c r="AA184" i="1"/>
  <c r="N185" i="1" s="1"/>
  <c r="V186" i="1"/>
  <c r="O187" i="1" s="1"/>
  <c r="G186" i="1"/>
  <c r="AI186" i="1" l="1"/>
  <c r="AH186" i="1"/>
  <c r="BM189" i="1"/>
  <c r="BN189" i="1"/>
  <c r="AV174" i="1"/>
  <c r="AS175" i="1" s="1"/>
  <c r="AW174" i="1"/>
  <c r="AL186" i="1"/>
  <c r="AO185" i="1"/>
  <c r="AP185" i="1" s="1"/>
  <c r="Y185" i="1"/>
  <c r="Z185" i="1"/>
  <c r="AE184" i="1"/>
  <c r="CM184" i="1"/>
  <c r="CN184" i="1" s="1"/>
  <c r="CF184" i="1"/>
  <c r="CJ184" i="1"/>
  <c r="BV184" i="1"/>
  <c r="BR185" i="1" s="1"/>
  <c r="BU185" i="1" s="1"/>
  <c r="H184" i="1"/>
  <c r="CA184" i="1"/>
  <c r="CB184" i="1" s="1"/>
  <c r="BX185" i="1" s="1"/>
  <c r="BI186" i="1"/>
  <c r="BH186" i="1" s="1"/>
  <c r="BG187" i="1" s="1"/>
  <c r="U187" i="1"/>
  <c r="T187" i="1"/>
  <c r="BO189" i="1" l="1"/>
  <c r="BL190" i="1"/>
  <c r="AJ186" i="1"/>
  <c r="AK186" i="1" s="1"/>
  <c r="AG187" i="1"/>
  <c r="BJ187" i="1"/>
  <c r="BT185" i="1"/>
  <c r="BS185" i="1" s="1"/>
  <c r="AU175" i="1"/>
  <c r="AT175" i="1"/>
  <c r="AZ175" i="1"/>
  <c r="BB175" i="1" s="1"/>
  <c r="BC175" i="1" s="1"/>
  <c r="AM186" i="1"/>
  <c r="AN186" i="1"/>
  <c r="BZ185" i="1"/>
  <c r="BY185" i="1"/>
  <c r="CE185" i="1"/>
  <c r="CG184" i="1"/>
  <c r="CD185" i="1"/>
  <c r="AA185" i="1"/>
  <c r="E185" i="1"/>
  <c r="F185" i="1" s="1"/>
  <c r="V187" i="1"/>
  <c r="O188" i="1" s="1"/>
  <c r="G187" i="1"/>
  <c r="AI187" i="1" l="1"/>
  <c r="AH187" i="1"/>
  <c r="BN190" i="1"/>
  <c r="BM190" i="1"/>
  <c r="AW175" i="1"/>
  <c r="AV175" i="1"/>
  <c r="AS176" i="1" s="1"/>
  <c r="AL187" i="1"/>
  <c r="AO186" i="1"/>
  <c r="AP186" i="1" s="1"/>
  <c r="AE185" i="1"/>
  <c r="CF185" i="1"/>
  <c r="CM185" i="1"/>
  <c r="CN185" i="1" s="1"/>
  <c r="CJ185" i="1"/>
  <c r="BV185" i="1"/>
  <c r="BR186" i="1" s="1"/>
  <c r="BU186" i="1" s="1"/>
  <c r="H185" i="1"/>
  <c r="N186" i="1"/>
  <c r="Z186" i="1" s="1"/>
  <c r="CA185" i="1"/>
  <c r="CB185" i="1" s="1"/>
  <c r="BX186" i="1" s="1"/>
  <c r="BI187" i="1"/>
  <c r="BH187" i="1" s="1"/>
  <c r="BG188" i="1" s="1"/>
  <c r="U188" i="1"/>
  <c r="T188" i="1"/>
  <c r="BO190" i="1" l="1"/>
  <c r="BL191" i="1"/>
  <c r="AJ187" i="1"/>
  <c r="AK187" i="1" s="1"/>
  <c r="AG188" i="1"/>
  <c r="BJ188" i="1"/>
  <c r="BT186" i="1"/>
  <c r="BS186" i="1" s="1"/>
  <c r="AT176" i="1"/>
  <c r="AU176" i="1"/>
  <c r="AZ176" i="1"/>
  <c r="BB176" i="1" s="1"/>
  <c r="BC176" i="1" s="1"/>
  <c r="AN187" i="1"/>
  <c r="AM187" i="1"/>
  <c r="E186" i="1"/>
  <c r="F186" i="1" s="1"/>
  <c r="CG185" i="1"/>
  <c r="CD186" i="1"/>
  <c r="BY186" i="1"/>
  <c r="CE186" i="1"/>
  <c r="BZ186" i="1"/>
  <c r="Y186" i="1"/>
  <c r="AA186" i="1" s="1"/>
  <c r="V188" i="1"/>
  <c r="O189" i="1" s="1"/>
  <c r="G188" i="1"/>
  <c r="AI188" i="1" l="1"/>
  <c r="AH188" i="1"/>
  <c r="BN191" i="1"/>
  <c r="BM191" i="1"/>
  <c r="CA186" i="1"/>
  <c r="CB186" i="1" s="1"/>
  <c r="BX187" i="1" s="1"/>
  <c r="BY187" i="1" s="1"/>
  <c r="AV176" i="1"/>
  <c r="AS177" i="1" s="1"/>
  <c r="AW176" i="1"/>
  <c r="AL188" i="1"/>
  <c r="AO187" i="1"/>
  <c r="AP187" i="1" s="1"/>
  <c r="N187" i="1"/>
  <c r="Z187" i="1" s="1"/>
  <c r="AE186" i="1"/>
  <c r="CF186" i="1"/>
  <c r="CJ186" i="1"/>
  <c r="CM186" i="1"/>
  <c r="CN186" i="1" s="1"/>
  <c r="BV186" i="1"/>
  <c r="BR187" i="1" s="1"/>
  <c r="BU187" i="1" s="1"/>
  <c r="H186" i="1"/>
  <c r="BI188" i="1"/>
  <c r="BH188" i="1" s="1"/>
  <c r="BG189" i="1" s="1"/>
  <c r="U189" i="1"/>
  <c r="T189" i="1"/>
  <c r="CE187" i="1" l="1"/>
  <c r="BZ187" i="1"/>
  <c r="CA187" i="1" s="1"/>
  <c r="BO191" i="1"/>
  <c r="BL192" i="1"/>
  <c r="AJ188" i="1"/>
  <c r="AK188" i="1" s="1"/>
  <c r="AG189" i="1"/>
  <c r="BJ189" i="1"/>
  <c r="BT187" i="1"/>
  <c r="BS187" i="1" s="1"/>
  <c r="AU177" i="1"/>
  <c r="AT177" i="1"/>
  <c r="AZ177" i="1"/>
  <c r="BB177" i="1" s="1"/>
  <c r="BC177" i="1" s="1"/>
  <c r="AN188" i="1"/>
  <c r="AM188" i="1"/>
  <c r="CG186" i="1"/>
  <c r="CD187" i="1"/>
  <c r="E187" i="1"/>
  <c r="F187" i="1" s="1"/>
  <c r="Y187" i="1"/>
  <c r="AA187" i="1" s="1"/>
  <c r="V189" i="1"/>
  <c r="O190" i="1" s="1"/>
  <c r="G189" i="1"/>
  <c r="AH189" i="1" l="1"/>
  <c r="AI189" i="1"/>
  <c r="BM192" i="1"/>
  <c r="BN192" i="1"/>
  <c r="AV177" i="1"/>
  <c r="AS178" i="1" s="1"/>
  <c r="AW177" i="1"/>
  <c r="AL189" i="1"/>
  <c r="AO188" i="1"/>
  <c r="AP188" i="1" s="1"/>
  <c r="N188" i="1"/>
  <c r="Z188" i="1" s="1"/>
  <c r="AE187" i="1"/>
  <c r="CM187" i="1"/>
  <c r="CN187" i="1" s="1"/>
  <c r="CJ187" i="1"/>
  <c r="CF187" i="1"/>
  <c r="BV187" i="1"/>
  <c r="BR188" i="1" s="1"/>
  <c r="BU188" i="1" s="1"/>
  <c r="H187" i="1"/>
  <c r="CB187" i="1"/>
  <c r="BX188" i="1" s="1"/>
  <c r="BI189" i="1"/>
  <c r="BH189" i="1" s="1"/>
  <c r="BG190" i="1" s="1"/>
  <c r="U190" i="1"/>
  <c r="T190" i="1"/>
  <c r="BO192" i="1" l="1"/>
  <c r="BL193" i="1"/>
  <c r="AG190" i="1"/>
  <c r="AJ189" i="1"/>
  <c r="AK189" i="1" s="1"/>
  <c r="BJ190" i="1"/>
  <c r="BT188" i="1"/>
  <c r="BS188" i="1" s="1"/>
  <c r="AU178" i="1"/>
  <c r="AZ178" i="1"/>
  <c r="BB178" i="1" s="1"/>
  <c r="BC178" i="1" s="1"/>
  <c r="AT178" i="1"/>
  <c r="AN189" i="1"/>
  <c r="AM189" i="1"/>
  <c r="CG187" i="1"/>
  <c r="CD188" i="1"/>
  <c r="E188" i="1"/>
  <c r="F188" i="1" s="1"/>
  <c r="BY188" i="1"/>
  <c r="BZ188" i="1"/>
  <c r="CE188" i="1"/>
  <c r="Y188" i="1"/>
  <c r="AA188" i="1" s="1"/>
  <c r="G190" i="1"/>
  <c r="V190" i="1"/>
  <c r="O191" i="1" s="1"/>
  <c r="CA188" i="1" l="1"/>
  <c r="CB188" i="1" s="1"/>
  <c r="BX189" i="1" s="1"/>
  <c r="BY189" i="1" s="1"/>
  <c r="AI190" i="1"/>
  <c r="AH190" i="1"/>
  <c r="BN193" i="1"/>
  <c r="BM193" i="1"/>
  <c r="AW178" i="1"/>
  <c r="AV178" i="1"/>
  <c r="AS179" i="1" s="1"/>
  <c r="AL190" i="1"/>
  <c r="AO189" i="1"/>
  <c r="AP189" i="1" s="1"/>
  <c r="AE188" i="1"/>
  <c r="CF188" i="1"/>
  <c r="CJ188" i="1"/>
  <c r="CM188" i="1"/>
  <c r="CN188" i="1" s="1"/>
  <c r="BV188" i="1"/>
  <c r="BR189" i="1" s="1"/>
  <c r="BU189" i="1" s="1"/>
  <c r="H188" i="1"/>
  <c r="N189" i="1"/>
  <c r="Z189" i="1" s="1"/>
  <c r="U191" i="1"/>
  <c r="T191" i="1"/>
  <c r="BI190" i="1"/>
  <c r="BH190" i="1" s="1"/>
  <c r="BG191" i="1" s="1"/>
  <c r="CE189" i="1" l="1"/>
  <c r="BZ189" i="1"/>
  <c r="CA189" i="1" s="1"/>
  <c r="BO193" i="1"/>
  <c r="BL194" i="1"/>
  <c r="BJ191" i="1"/>
  <c r="AJ190" i="1"/>
  <c r="AK190" i="1" s="1"/>
  <c r="AG191" i="1"/>
  <c r="BT189" i="1"/>
  <c r="BS189" i="1" s="1"/>
  <c r="AT179" i="1"/>
  <c r="AZ179" i="1"/>
  <c r="BB179" i="1" s="1"/>
  <c r="BC179" i="1" s="1"/>
  <c r="AU179" i="1"/>
  <c r="AM190" i="1"/>
  <c r="AN190" i="1"/>
  <c r="E189" i="1"/>
  <c r="F189" i="1" s="1"/>
  <c r="CG188" i="1"/>
  <c r="CD189" i="1"/>
  <c r="Y189" i="1"/>
  <c r="AA189" i="1" s="1"/>
  <c r="V191" i="1"/>
  <c r="O192" i="1" s="1"/>
  <c r="G191" i="1"/>
  <c r="CB189" i="1" l="1"/>
  <c r="BX190" i="1" s="1"/>
  <c r="BY190" i="1" s="1"/>
  <c r="AH191" i="1"/>
  <c r="AI191" i="1"/>
  <c r="BN194" i="1"/>
  <c r="BM194" i="1"/>
  <c r="AW179" i="1"/>
  <c r="AV179" i="1"/>
  <c r="AS180" i="1" s="1"/>
  <c r="AL191" i="1"/>
  <c r="AO190" i="1"/>
  <c r="AP190" i="1" s="1"/>
  <c r="N190" i="1"/>
  <c r="Z190" i="1" s="1"/>
  <c r="AE189" i="1"/>
  <c r="CJ189" i="1"/>
  <c r="CF189" i="1"/>
  <c r="CM189" i="1"/>
  <c r="CN189" i="1" s="1"/>
  <c r="BV189" i="1"/>
  <c r="BR190" i="1" s="1"/>
  <c r="BU190" i="1" s="1"/>
  <c r="H189" i="1"/>
  <c r="BI191" i="1"/>
  <c r="BH191" i="1" s="1"/>
  <c r="BG192" i="1" s="1"/>
  <c r="U192" i="1"/>
  <c r="T192" i="1"/>
  <c r="BZ190" i="1" l="1"/>
  <c r="CA190" i="1" s="1"/>
  <c r="CE190" i="1"/>
  <c r="BO194" i="1"/>
  <c r="BL195" i="1"/>
  <c r="AJ191" i="1"/>
  <c r="AK191" i="1" s="1"/>
  <c r="AG192" i="1"/>
  <c r="BJ192" i="1"/>
  <c r="BT190" i="1"/>
  <c r="BS190" i="1" s="1"/>
  <c r="AT180" i="1"/>
  <c r="AU180" i="1"/>
  <c r="AZ180" i="1"/>
  <c r="BB180" i="1" s="1"/>
  <c r="BC180" i="1" s="1"/>
  <c r="AM191" i="1"/>
  <c r="AN191" i="1"/>
  <c r="CG189" i="1"/>
  <c r="CD190" i="1"/>
  <c r="E190" i="1"/>
  <c r="F190" i="1" s="1"/>
  <c r="Y190" i="1"/>
  <c r="AA190" i="1" s="1"/>
  <c r="G192" i="1"/>
  <c r="V192" i="1"/>
  <c r="O193" i="1" s="1"/>
  <c r="AI192" i="1" l="1"/>
  <c r="AH192" i="1"/>
  <c r="BM195" i="1"/>
  <c r="BN195" i="1"/>
  <c r="AW180" i="1"/>
  <c r="AV180" i="1"/>
  <c r="AS181" i="1" s="1"/>
  <c r="AL192" i="1"/>
  <c r="AO191" i="1"/>
  <c r="AP191" i="1" s="1"/>
  <c r="N191" i="1"/>
  <c r="Z191" i="1" s="1"/>
  <c r="AE190" i="1"/>
  <c r="CF190" i="1"/>
  <c r="CJ190" i="1"/>
  <c r="CM190" i="1"/>
  <c r="CN190" i="1" s="1"/>
  <c r="BV190" i="1"/>
  <c r="BR191" i="1" s="1"/>
  <c r="BU191" i="1" s="1"/>
  <c r="H190" i="1"/>
  <c r="CB190" i="1"/>
  <c r="BX191" i="1" s="1"/>
  <c r="U193" i="1"/>
  <c r="T193" i="1"/>
  <c r="BI192" i="1"/>
  <c r="BH192" i="1" s="1"/>
  <c r="BG193" i="1" s="1"/>
  <c r="BJ193" i="1" l="1"/>
  <c r="BO195" i="1"/>
  <c r="BL196" i="1"/>
  <c r="AJ192" i="1"/>
  <c r="AK192" i="1" s="1"/>
  <c r="AG193" i="1"/>
  <c r="BT191" i="1"/>
  <c r="BS191" i="1" s="1"/>
  <c r="AZ181" i="1"/>
  <c r="BB181" i="1" s="1"/>
  <c r="BC181" i="1" s="1"/>
  <c r="AU181" i="1"/>
  <c r="AT181" i="1"/>
  <c r="AM192" i="1"/>
  <c r="AN192" i="1"/>
  <c r="BY191" i="1"/>
  <c r="BZ191" i="1"/>
  <c r="CE191" i="1"/>
  <c r="CG190" i="1"/>
  <c r="CD191" i="1"/>
  <c r="E191" i="1"/>
  <c r="F191" i="1" s="1"/>
  <c r="Y191" i="1"/>
  <c r="AA191" i="1" s="1"/>
  <c r="V193" i="1"/>
  <c r="O194" i="1" s="1"/>
  <c r="G193" i="1"/>
  <c r="AI193" i="1" l="1"/>
  <c r="AH193" i="1"/>
  <c r="BM196" i="1"/>
  <c r="BN196" i="1"/>
  <c r="CA191" i="1"/>
  <c r="CB191" i="1" s="1"/>
  <c r="BX192" i="1" s="1"/>
  <c r="AV181" i="1"/>
  <c r="AS182" i="1" s="1"/>
  <c r="AW181" i="1"/>
  <c r="AL193" i="1"/>
  <c r="AO192" i="1"/>
  <c r="AP192" i="1" s="1"/>
  <c r="AE191" i="1"/>
  <c r="CF191" i="1"/>
  <c r="CM191" i="1"/>
  <c r="CN191" i="1" s="1"/>
  <c r="CJ191" i="1"/>
  <c r="BV191" i="1"/>
  <c r="BR192" i="1" s="1"/>
  <c r="BU192" i="1" s="1"/>
  <c r="H191" i="1"/>
  <c r="N192" i="1"/>
  <c r="Z192" i="1" s="1"/>
  <c r="BI193" i="1"/>
  <c r="BH193" i="1" s="1"/>
  <c r="BG194" i="1" s="1"/>
  <c r="U194" i="1"/>
  <c r="T194" i="1"/>
  <c r="BO196" i="1" l="1"/>
  <c r="BL197" i="1"/>
  <c r="AJ193" i="1"/>
  <c r="AK193" i="1" s="1"/>
  <c r="AG194" i="1"/>
  <c r="BJ194" i="1"/>
  <c r="BT192" i="1"/>
  <c r="BS192" i="1" s="1"/>
  <c r="AT182" i="1"/>
  <c r="AU182" i="1"/>
  <c r="AZ182" i="1"/>
  <c r="BB182" i="1" s="1"/>
  <c r="BC182" i="1" s="1"/>
  <c r="AN193" i="1"/>
  <c r="AM193" i="1"/>
  <c r="Y192" i="1"/>
  <c r="AA192" i="1" s="1"/>
  <c r="E192" i="1"/>
  <c r="F192" i="1" s="1"/>
  <c r="CG191" i="1"/>
  <c r="CD192" i="1"/>
  <c r="BZ192" i="1"/>
  <c r="BY192" i="1"/>
  <c r="CE192" i="1"/>
  <c r="V194" i="1"/>
  <c r="O195" i="1" s="1"/>
  <c r="G194" i="1"/>
  <c r="AI194" i="1" l="1"/>
  <c r="AH194" i="1"/>
  <c r="BN197" i="1"/>
  <c r="BM197" i="1"/>
  <c r="CA192" i="1"/>
  <c r="CB192" i="1" s="1"/>
  <c r="BX193" i="1" s="1"/>
  <c r="CE193" i="1" s="1"/>
  <c r="AV182" i="1"/>
  <c r="AS183" i="1" s="1"/>
  <c r="AW182" i="1"/>
  <c r="AL194" i="1"/>
  <c r="AO193" i="1"/>
  <c r="AP193" i="1" s="1"/>
  <c r="AE192" i="1"/>
  <c r="CJ192" i="1"/>
  <c r="CF192" i="1"/>
  <c r="CM192" i="1"/>
  <c r="CN192" i="1" s="1"/>
  <c r="H192" i="1"/>
  <c r="BV192" i="1"/>
  <c r="BR193" i="1" s="1"/>
  <c r="BU193" i="1" s="1"/>
  <c r="N193" i="1"/>
  <c r="Z193" i="1" s="1"/>
  <c r="BI194" i="1"/>
  <c r="BH194" i="1" s="1"/>
  <c r="BG195" i="1" s="1"/>
  <c r="U195" i="1"/>
  <c r="T195" i="1"/>
  <c r="BO197" i="1" l="1"/>
  <c r="BL198" i="1"/>
  <c r="AG195" i="1"/>
  <c r="AJ194" i="1"/>
  <c r="AK194" i="1" s="1"/>
  <c r="BJ195" i="1"/>
  <c r="BZ193" i="1"/>
  <c r="BY193" i="1"/>
  <c r="BT193" i="1"/>
  <c r="BS193" i="1" s="1"/>
  <c r="AZ183" i="1"/>
  <c r="BB183" i="1" s="1"/>
  <c r="BC183" i="1" s="1"/>
  <c r="AT183" i="1"/>
  <c r="AU183" i="1"/>
  <c r="AN194" i="1"/>
  <c r="AM194" i="1"/>
  <c r="Y193" i="1"/>
  <c r="AA193" i="1" s="1"/>
  <c r="CG192" i="1"/>
  <c r="CD193" i="1"/>
  <c r="E193" i="1"/>
  <c r="F193" i="1" s="1"/>
  <c r="G195" i="1"/>
  <c r="V195" i="1"/>
  <c r="O196" i="1" s="1"/>
  <c r="CA193" i="1" l="1"/>
  <c r="CB193" i="1" s="1"/>
  <c r="BX194" i="1" s="1"/>
  <c r="AH195" i="1"/>
  <c r="AI195" i="1"/>
  <c r="BM198" i="1"/>
  <c r="BN198" i="1"/>
  <c r="AV183" i="1"/>
  <c r="AS184" i="1" s="1"/>
  <c r="AW183" i="1"/>
  <c r="AL195" i="1"/>
  <c r="AO194" i="1"/>
  <c r="AP194" i="1" s="1"/>
  <c r="AE193" i="1"/>
  <c r="CF193" i="1"/>
  <c r="CJ193" i="1"/>
  <c r="CM193" i="1"/>
  <c r="CN193" i="1" s="1"/>
  <c r="BV193" i="1"/>
  <c r="BR194" i="1" s="1"/>
  <c r="BU194" i="1" s="1"/>
  <c r="H193" i="1"/>
  <c r="N194" i="1"/>
  <c r="Z194" i="1" s="1"/>
  <c r="U196" i="1"/>
  <c r="T196" i="1"/>
  <c r="BI195" i="1"/>
  <c r="BH195" i="1" s="1"/>
  <c r="BG196" i="1" s="1"/>
  <c r="BJ196" i="1" l="1"/>
  <c r="BO198" i="1"/>
  <c r="BL199" i="1"/>
  <c r="AG196" i="1"/>
  <c r="AJ195" i="1"/>
  <c r="AK195" i="1" s="1"/>
  <c r="BT194" i="1"/>
  <c r="BS194" i="1" s="1"/>
  <c r="AT184" i="1"/>
  <c r="AU184" i="1"/>
  <c r="AZ184" i="1"/>
  <c r="BB184" i="1" s="1"/>
  <c r="BC184" i="1" s="1"/>
  <c r="AM195" i="1"/>
  <c r="AN195" i="1"/>
  <c r="Y194" i="1"/>
  <c r="AA194" i="1" s="1"/>
  <c r="E194" i="1"/>
  <c r="F194" i="1" s="1"/>
  <c r="BZ194" i="1"/>
  <c r="CE194" i="1"/>
  <c r="BY194" i="1"/>
  <c r="CG193" i="1"/>
  <c r="CD194" i="1"/>
  <c r="V196" i="1"/>
  <c r="O197" i="1" s="1"/>
  <c r="G196" i="1"/>
  <c r="AI196" i="1" l="1"/>
  <c r="AH196" i="1"/>
  <c r="BN199" i="1"/>
  <c r="BM199" i="1"/>
  <c r="AW184" i="1"/>
  <c r="AV184" i="1"/>
  <c r="AS185" i="1" s="1"/>
  <c r="AL196" i="1"/>
  <c r="AO195" i="1"/>
  <c r="AP195" i="1" s="1"/>
  <c r="CA194" i="1"/>
  <c r="CB194" i="1" s="1"/>
  <c r="BX195" i="1" s="1"/>
  <c r="AE194" i="1"/>
  <c r="CF194" i="1"/>
  <c r="CJ194" i="1"/>
  <c r="CM194" i="1"/>
  <c r="CN194" i="1" s="1"/>
  <c r="BV194" i="1"/>
  <c r="BR195" i="1" s="1"/>
  <c r="BU195" i="1" s="1"/>
  <c r="H194" i="1"/>
  <c r="N195" i="1"/>
  <c r="Z195" i="1" s="1"/>
  <c r="BI196" i="1"/>
  <c r="BH196" i="1" s="1"/>
  <c r="BG197" i="1" s="1"/>
  <c r="U197" i="1"/>
  <c r="T197" i="1"/>
  <c r="BO199" i="1" l="1"/>
  <c r="BL200" i="1"/>
  <c r="AJ196" i="1"/>
  <c r="AK196" i="1" s="1"/>
  <c r="AG197" i="1"/>
  <c r="BJ197" i="1"/>
  <c r="BT195" i="1"/>
  <c r="BS195" i="1" s="1"/>
  <c r="AU185" i="1"/>
  <c r="AT185" i="1"/>
  <c r="AZ185" i="1"/>
  <c r="BB185" i="1" s="1"/>
  <c r="BC185" i="1" s="1"/>
  <c r="AN196" i="1"/>
  <c r="AM196" i="1"/>
  <c r="Y195" i="1"/>
  <c r="AA195" i="1" s="1"/>
  <c r="E195" i="1"/>
  <c r="F195" i="1" s="1"/>
  <c r="CG194" i="1"/>
  <c r="CD195" i="1"/>
  <c r="BZ195" i="1"/>
  <c r="BY195" i="1"/>
  <c r="CE195" i="1"/>
  <c r="V197" i="1"/>
  <c r="O198" i="1" s="1"/>
  <c r="G197" i="1"/>
  <c r="AH197" i="1" l="1"/>
  <c r="AI197" i="1"/>
  <c r="BN200" i="1"/>
  <c r="BM200" i="1"/>
  <c r="CA195" i="1"/>
  <c r="CB195" i="1" s="1"/>
  <c r="BX196" i="1" s="1"/>
  <c r="BY196" i="1" s="1"/>
  <c r="AV185" i="1"/>
  <c r="AS186" i="1" s="1"/>
  <c r="AW185" i="1"/>
  <c r="AL197" i="1"/>
  <c r="AO196" i="1"/>
  <c r="AP196" i="1" s="1"/>
  <c r="AE195" i="1"/>
  <c r="CM195" i="1"/>
  <c r="CN195" i="1" s="1"/>
  <c r="CF195" i="1"/>
  <c r="CJ195" i="1"/>
  <c r="H195" i="1"/>
  <c r="BV195" i="1"/>
  <c r="BR196" i="1" s="1"/>
  <c r="BU196" i="1" s="1"/>
  <c r="N196" i="1"/>
  <c r="Z196" i="1" s="1"/>
  <c r="BI197" i="1"/>
  <c r="BH197" i="1" s="1"/>
  <c r="BG198" i="1" s="1"/>
  <c r="U198" i="1"/>
  <c r="T198" i="1"/>
  <c r="BO200" i="1" l="1"/>
  <c r="BL201" i="1"/>
  <c r="AJ197" i="1"/>
  <c r="AK197" i="1" s="1"/>
  <c r="AG198" i="1"/>
  <c r="BJ198" i="1"/>
  <c r="BZ196" i="1"/>
  <c r="CA196" i="1" s="1"/>
  <c r="CE196" i="1"/>
  <c r="BT196" i="1"/>
  <c r="BS196" i="1" s="1"/>
  <c r="AZ186" i="1"/>
  <c r="BB186" i="1" s="1"/>
  <c r="BC186" i="1" s="1"/>
  <c r="AT186" i="1"/>
  <c r="AU186" i="1"/>
  <c r="AN197" i="1"/>
  <c r="AM197" i="1"/>
  <c r="E196" i="1"/>
  <c r="F196" i="1" s="1"/>
  <c r="CG195" i="1"/>
  <c r="CD196" i="1"/>
  <c r="Y196" i="1"/>
  <c r="AA196" i="1" s="1"/>
  <c r="V198" i="1"/>
  <c r="O199" i="1" s="1"/>
  <c r="G198" i="1"/>
  <c r="CB196" i="1" l="1"/>
  <c r="BX197" i="1" s="1"/>
  <c r="CE197" i="1" s="1"/>
  <c r="AI198" i="1"/>
  <c r="AH198" i="1"/>
  <c r="BM201" i="1"/>
  <c r="BN201" i="1"/>
  <c r="AW186" i="1"/>
  <c r="AV186" i="1"/>
  <c r="AS187" i="1" s="1"/>
  <c r="AL198" i="1"/>
  <c r="AO197" i="1"/>
  <c r="AP197" i="1" s="1"/>
  <c r="N197" i="1"/>
  <c r="Z197" i="1" s="1"/>
  <c r="AE196" i="1"/>
  <c r="CM196" i="1"/>
  <c r="CN196" i="1" s="1"/>
  <c r="CF196" i="1"/>
  <c r="CJ196" i="1"/>
  <c r="H196" i="1"/>
  <c r="BV196" i="1"/>
  <c r="BR197" i="1" s="1"/>
  <c r="BU197" i="1" s="1"/>
  <c r="BI198" i="1"/>
  <c r="BH198" i="1" s="1"/>
  <c r="BG199" i="1" s="1"/>
  <c r="U199" i="1"/>
  <c r="T199" i="1"/>
  <c r="BY197" i="1" l="1"/>
  <c r="BZ197" i="1"/>
  <c r="BO201" i="1"/>
  <c r="BL202" i="1"/>
  <c r="AG199" i="1"/>
  <c r="AJ198" i="1"/>
  <c r="AK198" i="1" s="1"/>
  <c r="BJ199" i="1"/>
  <c r="BT197" i="1"/>
  <c r="BS197" i="1" s="1"/>
  <c r="AT187" i="1"/>
  <c r="AU187" i="1"/>
  <c r="AZ187" i="1"/>
  <c r="BB187" i="1" s="1"/>
  <c r="BC187" i="1" s="1"/>
  <c r="AM198" i="1"/>
  <c r="AN198" i="1"/>
  <c r="CG196" i="1"/>
  <c r="CD197" i="1"/>
  <c r="E197" i="1"/>
  <c r="F197" i="1" s="1"/>
  <c r="Y197" i="1"/>
  <c r="AA197" i="1" s="1"/>
  <c r="G199" i="1"/>
  <c r="V199" i="1"/>
  <c r="O200" i="1" s="1"/>
  <c r="CA197" i="1" l="1"/>
  <c r="AI199" i="1"/>
  <c r="AH199" i="1"/>
  <c r="BM202" i="1"/>
  <c r="BN202" i="1"/>
  <c r="AV187" i="1"/>
  <c r="AS188" i="1" s="1"/>
  <c r="AW187" i="1"/>
  <c r="AL199" i="1"/>
  <c r="AO198" i="1"/>
  <c r="AP198" i="1" s="1"/>
  <c r="N198" i="1"/>
  <c r="Z198" i="1" s="1"/>
  <c r="AE197" i="1"/>
  <c r="CM197" i="1"/>
  <c r="CN197" i="1" s="1"/>
  <c r="CF197" i="1"/>
  <c r="CJ197" i="1"/>
  <c r="BV197" i="1"/>
  <c r="BR198" i="1" s="1"/>
  <c r="BU198" i="1" s="1"/>
  <c r="H197" i="1"/>
  <c r="CB197" i="1"/>
  <c r="BX198" i="1" s="1"/>
  <c r="U200" i="1"/>
  <c r="T200" i="1"/>
  <c r="BI199" i="1"/>
  <c r="BH199" i="1" s="1"/>
  <c r="BG200" i="1" s="1"/>
  <c r="BJ200" i="1" l="1"/>
  <c r="BO202" i="1"/>
  <c r="BL203" i="1"/>
  <c r="AJ199" i="1"/>
  <c r="AK199" i="1" s="1"/>
  <c r="AG200" i="1"/>
  <c r="BT198" i="1"/>
  <c r="BS198" i="1" s="1"/>
  <c r="AU188" i="1"/>
  <c r="AZ188" i="1"/>
  <c r="BB188" i="1" s="1"/>
  <c r="BC188" i="1" s="1"/>
  <c r="AT188" i="1"/>
  <c r="AN199" i="1"/>
  <c r="AM199" i="1"/>
  <c r="CG197" i="1"/>
  <c r="CD198" i="1"/>
  <c r="CE198" i="1"/>
  <c r="BZ198" i="1"/>
  <c r="BY198" i="1"/>
  <c r="E198" i="1"/>
  <c r="F198" i="1" s="1"/>
  <c r="Y198" i="1"/>
  <c r="AA198" i="1" s="1"/>
  <c r="V200" i="1"/>
  <c r="O201" i="1" s="1"/>
  <c r="G200" i="1"/>
  <c r="AI200" i="1" l="1"/>
  <c r="AH200" i="1"/>
  <c r="BN203" i="1"/>
  <c r="BM203" i="1"/>
  <c r="AW188" i="1"/>
  <c r="AV188" i="1"/>
  <c r="AS189" i="1" s="1"/>
  <c r="AL200" i="1"/>
  <c r="AO199" i="1"/>
  <c r="AP199" i="1" s="1"/>
  <c r="AE198" i="1"/>
  <c r="CF198" i="1"/>
  <c r="CM198" i="1"/>
  <c r="CN198" i="1" s="1"/>
  <c r="CJ198" i="1"/>
  <c r="BV198" i="1"/>
  <c r="BR199" i="1" s="1"/>
  <c r="BU199" i="1" s="1"/>
  <c r="H198" i="1"/>
  <c r="N199" i="1"/>
  <c r="Z199" i="1" s="1"/>
  <c r="CA198" i="1"/>
  <c r="CB198" i="1" s="1"/>
  <c r="BX199" i="1" s="1"/>
  <c r="BI200" i="1"/>
  <c r="BH200" i="1" s="1"/>
  <c r="BG201" i="1" s="1"/>
  <c r="U201" i="1"/>
  <c r="T201" i="1"/>
  <c r="BO203" i="1" l="1"/>
  <c r="BL204" i="1"/>
  <c r="AJ200" i="1"/>
  <c r="AK200" i="1" s="1"/>
  <c r="AG201" i="1"/>
  <c r="BJ201" i="1"/>
  <c r="BT199" i="1"/>
  <c r="BS199" i="1" s="1"/>
  <c r="AT189" i="1"/>
  <c r="AU189" i="1"/>
  <c r="AZ189" i="1"/>
  <c r="BB189" i="1" s="1"/>
  <c r="BC189" i="1" s="1"/>
  <c r="AM200" i="1"/>
  <c r="AN200" i="1"/>
  <c r="CE199" i="1"/>
  <c r="BY199" i="1"/>
  <c r="BZ199" i="1"/>
  <c r="E199" i="1"/>
  <c r="F199" i="1" s="1"/>
  <c r="Y199" i="1"/>
  <c r="AA199" i="1" s="1"/>
  <c r="CG198" i="1"/>
  <c r="CD199" i="1"/>
  <c r="V201" i="1"/>
  <c r="O202" i="1" s="1"/>
  <c r="G201" i="1"/>
  <c r="AH201" i="1" l="1"/>
  <c r="AI201" i="1"/>
  <c r="BN204" i="1"/>
  <c r="BM204" i="1"/>
  <c r="CA199" i="1"/>
  <c r="CB199" i="1" s="1"/>
  <c r="BX200" i="1" s="1"/>
  <c r="AV189" i="1"/>
  <c r="AS190" i="1" s="1"/>
  <c r="AW189" i="1"/>
  <c r="AL201" i="1"/>
  <c r="AO200" i="1"/>
  <c r="AP200" i="1" s="1"/>
  <c r="N200" i="1"/>
  <c r="Z200" i="1" s="1"/>
  <c r="AE199" i="1"/>
  <c r="CF199" i="1"/>
  <c r="CM199" i="1"/>
  <c r="CN199" i="1" s="1"/>
  <c r="CJ199" i="1"/>
  <c r="BV199" i="1"/>
  <c r="BR200" i="1" s="1"/>
  <c r="BU200" i="1" s="1"/>
  <c r="H199" i="1"/>
  <c r="BI201" i="1"/>
  <c r="BH201" i="1" s="1"/>
  <c r="BG202" i="1" s="1"/>
  <c r="U202" i="1"/>
  <c r="T202" i="1"/>
  <c r="AY210" i="1"/>
  <c r="BA210" i="1" s="1"/>
  <c r="BO204" i="1" l="1"/>
  <c r="BL205" i="1"/>
  <c r="AJ201" i="1"/>
  <c r="AK201" i="1" s="1"/>
  <c r="AG202" i="1"/>
  <c r="BJ202" i="1"/>
  <c r="BT200" i="1"/>
  <c r="BS200" i="1" s="1"/>
  <c r="AY211" i="1"/>
  <c r="BA211" i="1" s="1"/>
  <c r="AT190" i="1"/>
  <c r="AU190" i="1"/>
  <c r="AZ190" i="1"/>
  <c r="BB190" i="1" s="1"/>
  <c r="BC190" i="1" s="1"/>
  <c r="AM201" i="1"/>
  <c r="AN201" i="1"/>
  <c r="BZ200" i="1"/>
  <c r="CE200" i="1"/>
  <c r="BY200" i="1"/>
  <c r="CG199" i="1"/>
  <c r="CD200" i="1"/>
  <c r="E200" i="1"/>
  <c r="F200" i="1" s="1"/>
  <c r="Y200" i="1"/>
  <c r="AA200" i="1" s="1"/>
  <c r="V202" i="1"/>
  <c r="O203" i="1" s="1"/>
  <c r="G202" i="1"/>
  <c r="AH202" i="1" l="1"/>
  <c r="AI202" i="1"/>
  <c r="BN205" i="1"/>
  <c r="BM205" i="1"/>
  <c r="AY212" i="1"/>
  <c r="BA212" i="1" s="1"/>
  <c r="AW190" i="1"/>
  <c r="AV190" i="1"/>
  <c r="AL202" i="1"/>
  <c r="AO201" i="1"/>
  <c r="AP201" i="1" s="1"/>
  <c r="AE200" i="1"/>
  <c r="CM200" i="1"/>
  <c r="CN200" i="1" s="1"/>
  <c r="CF200" i="1"/>
  <c r="CJ200" i="1"/>
  <c r="H200" i="1"/>
  <c r="BV200" i="1"/>
  <c r="BR201" i="1" s="1"/>
  <c r="BU201" i="1" s="1"/>
  <c r="N201" i="1"/>
  <c r="Z201" i="1" s="1"/>
  <c r="CA200" i="1"/>
  <c r="CB200" i="1" s="1"/>
  <c r="BX201" i="1" s="1"/>
  <c r="BI202" i="1"/>
  <c r="BH202" i="1" s="1"/>
  <c r="BG203" i="1" s="1"/>
  <c r="U203" i="1"/>
  <c r="T203" i="1"/>
  <c r="BO205" i="1" l="1"/>
  <c r="BL206" i="1"/>
  <c r="AG203" i="1"/>
  <c r="AJ202" i="1"/>
  <c r="AK202" i="1" s="1"/>
  <c r="BJ203" i="1"/>
  <c r="BT201" i="1"/>
  <c r="BS201" i="1" s="1"/>
  <c r="AY213" i="1"/>
  <c r="BA213" i="1" s="1"/>
  <c r="AY214" i="1" s="1"/>
  <c r="BA214" i="1" s="1"/>
  <c r="AS191" i="1"/>
  <c r="AN202" i="1"/>
  <c r="AM202" i="1"/>
  <c r="E201" i="1"/>
  <c r="F201" i="1" s="1"/>
  <c r="Y201" i="1"/>
  <c r="AA201" i="1" s="1"/>
  <c r="BY201" i="1"/>
  <c r="CE201" i="1"/>
  <c r="BZ201" i="1"/>
  <c r="CG200" i="1"/>
  <c r="CD201" i="1"/>
  <c r="V203" i="1"/>
  <c r="O204" i="1" s="1"/>
  <c r="G203" i="1"/>
  <c r="AH203" i="1" l="1"/>
  <c r="AI203" i="1"/>
  <c r="BM206" i="1"/>
  <c r="BN206" i="1"/>
  <c r="CA201" i="1"/>
  <c r="CB201" i="1" s="1"/>
  <c r="BX202" i="1" s="1"/>
  <c r="BY202" i="1" s="1"/>
  <c r="AY215" i="1"/>
  <c r="BA215" i="1" s="1"/>
  <c r="AZ191" i="1"/>
  <c r="BB191" i="1" s="1"/>
  <c r="BC191" i="1" s="1"/>
  <c r="AU191" i="1"/>
  <c r="AT191" i="1"/>
  <c r="AL203" i="1"/>
  <c r="AO202" i="1"/>
  <c r="AP202" i="1" s="1"/>
  <c r="N202" i="1"/>
  <c r="Z202" i="1" s="1"/>
  <c r="AE201" i="1"/>
  <c r="CJ201" i="1"/>
  <c r="CM201" i="1"/>
  <c r="CN201" i="1" s="1"/>
  <c r="CF201" i="1"/>
  <c r="BV201" i="1"/>
  <c r="BR202" i="1" s="1"/>
  <c r="BU202" i="1" s="1"/>
  <c r="H201" i="1"/>
  <c r="BI203" i="1"/>
  <c r="BH203" i="1" s="1"/>
  <c r="BG204" i="1" s="1"/>
  <c r="U204" i="1"/>
  <c r="T204" i="1"/>
  <c r="BO206" i="1" l="1"/>
  <c r="BL207" i="1"/>
  <c r="AG204" i="1"/>
  <c r="AJ203" i="1"/>
  <c r="AK203" i="1" s="1"/>
  <c r="BJ204" i="1"/>
  <c r="CE202" i="1"/>
  <c r="BZ202" i="1"/>
  <c r="CA202" i="1" s="1"/>
  <c r="BT202" i="1"/>
  <c r="BS202" i="1" s="1"/>
  <c r="AY216" i="1"/>
  <c r="BA216" i="1" s="1"/>
  <c r="AY217" i="1" s="1"/>
  <c r="BA217" i="1" s="1"/>
  <c r="AY218" i="1" s="1"/>
  <c r="BA218" i="1" s="1"/>
  <c r="AY219" i="1" s="1"/>
  <c r="BA219" i="1" s="1"/>
  <c r="AY220" i="1" s="1"/>
  <c r="BA220" i="1" s="1"/>
  <c r="AY221" i="1" s="1"/>
  <c r="BA221" i="1" s="1"/>
  <c r="AW191" i="1"/>
  <c r="AV191" i="1"/>
  <c r="AM203" i="1"/>
  <c r="AN203" i="1"/>
  <c r="CG201" i="1"/>
  <c r="CD202" i="1"/>
  <c r="E202" i="1"/>
  <c r="F202" i="1" s="1"/>
  <c r="Y202" i="1"/>
  <c r="AA202" i="1" s="1"/>
  <c r="G204" i="1"/>
  <c r="V204" i="1"/>
  <c r="O205" i="1" s="1"/>
  <c r="AH204" i="1" l="1"/>
  <c r="AI204" i="1"/>
  <c r="BN207" i="1"/>
  <c r="BM207" i="1"/>
  <c r="AS192" i="1"/>
  <c r="AL204" i="1"/>
  <c r="AO203" i="1"/>
  <c r="AP203" i="1" s="1"/>
  <c r="N203" i="1"/>
  <c r="Z203" i="1" s="1"/>
  <c r="AE202" i="1"/>
  <c r="CM202" i="1"/>
  <c r="CN202" i="1" s="1"/>
  <c r="CB202" i="1"/>
  <c r="BX203" i="1" s="1"/>
  <c r="CJ202" i="1"/>
  <c r="CF202" i="1"/>
  <c r="H202" i="1"/>
  <c r="BV202" i="1"/>
  <c r="BR203" i="1" s="1"/>
  <c r="BU203" i="1" s="1"/>
  <c r="U205" i="1"/>
  <c r="T205" i="1"/>
  <c r="BI204" i="1"/>
  <c r="BH204" i="1" s="1"/>
  <c r="BG205" i="1" s="1"/>
  <c r="BO207" i="1" l="1"/>
  <c r="BL208" i="1"/>
  <c r="AG205" i="1"/>
  <c r="AJ204" i="1"/>
  <c r="AK204" i="1" s="1"/>
  <c r="BJ205" i="1"/>
  <c r="BT203" i="1"/>
  <c r="BS203" i="1" s="1"/>
  <c r="AZ192" i="1"/>
  <c r="BB192" i="1" s="1"/>
  <c r="BC192" i="1" s="1"/>
  <c r="AT192" i="1"/>
  <c r="AU192" i="1"/>
  <c r="AN204" i="1"/>
  <c r="AM204" i="1"/>
  <c r="CG202" i="1"/>
  <c r="CD203" i="1"/>
  <c r="CE203" i="1"/>
  <c r="BY203" i="1"/>
  <c r="BZ203" i="1"/>
  <c r="E203" i="1"/>
  <c r="F203" i="1" s="1"/>
  <c r="Y203" i="1"/>
  <c r="AA203" i="1" s="1"/>
  <c r="V205" i="1"/>
  <c r="O206" i="1" s="1"/>
  <c r="G205" i="1"/>
  <c r="CA203" i="1" l="1"/>
  <c r="CB203" i="1" s="1"/>
  <c r="BX204" i="1" s="1"/>
  <c r="BY204" i="1" s="1"/>
  <c r="AH205" i="1"/>
  <c r="AI205" i="1"/>
  <c r="BM208" i="1"/>
  <c r="BN208" i="1"/>
  <c r="AW192" i="1"/>
  <c r="AV192" i="1"/>
  <c r="AL205" i="1"/>
  <c r="AO204" i="1"/>
  <c r="AP204" i="1" s="1"/>
  <c r="N204" i="1"/>
  <c r="Z204" i="1" s="1"/>
  <c r="AE203" i="1"/>
  <c r="CM203" i="1"/>
  <c r="CN203" i="1" s="1"/>
  <c r="CF203" i="1"/>
  <c r="CJ203" i="1"/>
  <c r="BV203" i="1"/>
  <c r="BR204" i="1" s="1"/>
  <c r="BU204" i="1" s="1"/>
  <c r="H203" i="1"/>
  <c r="U206" i="1"/>
  <c r="T206" i="1"/>
  <c r="BI205" i="1"/>
  <c r="BH205" i="1" s="1"/>
  <c r="BG206" i="1" s="1"/>
  <c r="BZ204" i="1" l="1"/>
  <c r="CA204" i="1" s="1"/>
  <c r="CE204" i="1"/>
  <c r="BO208" i="1"/>
  <c r="BL209" i="1"/>
  <c r="AG206" i="1"/>
  <c r="AJ205" i="1"/>
  <c r="AK205" i="1" s="1"/>
  <c r="BJ206" i="1"/>
  <c r="BT204" i="1"/>
  <c r="BS204" i="1" s="1"/>
  <c r="AS193" i="1"/>
  <c r="AN205" i="1"/>
  <c r="AM205" i="1"/>
  <c r="CG203" i="1"/>
  <c r="CD204" i="1"/>
  <c r="E204" i="1"/>
  <c r="F204" i="1" s="1"/>
  <c r="Y204" i="1"/>
  <c r="AA204" i="1" s="1"/>
  <c r="V206" i="1"/>
  <c r="O207" i="1" s="1"/>
  <c r="G206" i="1"/>
  <c r="AH206" i="1" l="1"/>
  <c r="AI206" i="1"/>
  <c r="BN209" i="1"/>
  <c r="BM209" i="1"/>
  <c r="AZ193" i="1"/>
  <c r="BB193" i="1" s="1"/>
  <c r="BC193" i="1" s="1"/>
  <c r="AU193" i="1"/>
  <c r="AT193" i="1"/>
  <c r="AL206" i="1"/>
  <c r="AO205" i="1"/>
  <c r="AP205" i="1" s="1"/>
  <c r="N205" i="1"/>
  <c r="Z205" i="1" s="1"/>
  <c r="AE204" i="1"/>
  <c r="CJ204" i="1"/>
  <c r="CF204" i="1"/>
  <c r="CM204" i="1"/>
  <c r="CN204" i="1" s="1"/>
  <c r="H204" i="1"/>
  <c r="BV204" i="1"/>
  <c r="BR205" i="1" s="1"/>
  <c r="BU205" i="1" s="1"/>
  <c r="CB204" i="1"/>
  <c r="BX205" i="1" s="1"/>
  <c r="U207" i="1"/>
  <c r="T207" i="1"/>
  <c r="BI206" i="1"/>
  <c r="BH206" i="1" s="1"/>
  <c r="BG207" i="1" s="1"/>
  <c r="BJ207" i="1" l="1"/>
  <c r="BO209" i="1"/>
  <c r="BL210" i="1"/>
  <c r="AJ206" i="1"/>
  <c r="AK206" i="1" s="1"/>
  <c r="AG207" i="1"/>
  <c r="AW193" i="1"/>
  <c r="AV193" i="1"/>
  <c r="AN206" i="1"/>
  <c r="AM206" i="1"/>
  <c r="BT205" i="1"/>
  <c r="BS205" i="1" s="1"/>
  <c r="CE205" i="1"/>
  <c r="BY205" i="1"/>
  <c r="BZ205" i="1"/>
  <c r="CG204" i="1"/>
  <c r="CD205" i="1"/>
  <c r="E205" i="1"/>
  <c r="F205" i="1" s="1"/>
  <c r="Y205" i="1"/>
  <c r="AA205" i="1" s="1"/>
  <c r="V207" i="1"/>
  <c r="O208" i="1" s="1"/>
  <c r="G207" i="1"/>
  <c r="AI207" i="1" l="1"/>
  <c r="AH207" i="1"/>
  <c r="BM210" i="1"/>
  <c r="BN210" i="1"/>
  <c r="CA205" i="1"/>
  <c r="CB205" i="1" s="1"/>
  <c r="BX206" i="1" s="1"/>
  <c r="CE206" i="1" s="1"/>
  <c r="AS194" i="1"/>
  <c r="AL207" i="1"/>
  <c r="AO206" i="1"/>
  <c r="AP206" i="1" s="1"/>
  <c r="N206" i="1"/>
  <c r="Z206" i="1" s="1"/>
  <c r="AE205" i="1"/>
  <c r="CJ205" i="1"/>
  <c r="CF205" i="1"/>
  <c r="CM205" i="1"/>
  <c r="CN205" i="1" s="1"/>
  <c r="BV205" i="1"/>
  <c r="BR206" i="1" s="1"/>
  <c r="BU206" i="1" s="1"/>
  <c r="H205" i="1"/>
  <c r="BI207" i="1"/>
  <c r="BH207" i="1" s="1"/>
  <c r="BG208" i="1" s="1"/>
  <c r="U208" i="1"/>
  <c r="T208" i="1"/>
  <c r="BO210" i="1" l="1"/>
  <c r="BL211" i="1"/>
  <c r="AJ207" i="1"/>
  <c r="AK207" i="1" s="1"/>
  <c r="AG208" i="1"/>
  <c r="BJ208" i="1"/>
  <c r="BZ206" i="1"/>
  <c r="BY206" i="1"/>
  <c r="AU194" i="1"/>
  <c r="AZ194" i="1"/>
  <c r="BB194" i="1" s="1"/>
  <c r="BC194" i="1" s="1"/>
  <c r="AT194" i="1"/>
  <c r="AM207" i="1"/>
  <c r="AN207" i="1"/>
  <c r="BT206" i="1"/>
  <c r="BS206" i="1" s="1"/>
  <c r="CG205" i="1"/>
  <c r="CD206" i="1"/>
  <c r="E206" i="1"/>
  <c r="F206" i="1" s="1"/>
  <c r="Y206" i="1"/>
  <c r="AA206" i="1" s="1"/>
  <c r="V208" i="1"/>
  <c r="O209" i="1" s="1"/>
  <c r="G208" i="1"/>
  <c r="AH208" i="1" l="1"/>
  <c r="AI208" i="1"/>
  <c r="BM211" i="1"/>
  <c r="BN211" i="1"/>
  <c r="CA206" i="1"/>
  <c r="CB206" i="1" s="1"/>
  <c r="BX207" i="1" s="1"/>
  <c r="AV194" i="1"/>
  <c r="AW194" i="1"/>
  <c r="AL208" i="1"/>
  <c r="AO207" i="1"/>
  <c r="AP207" i="1" s="1"/>
  <c r="AE206" i="1"/>
  <c r="CF206" i="1"/>
  <c r="CM206" i="1"/>
  <c r="CN206" i="1" s="1"/>
  <c r="CJ206" i="1"/>
  <c r="BV206" i="1"/>
  <c r="BR207" i="1" s="1"/>
  <c r="BU207" i="1" s="1"/>
  <c r="H206" i="1"/>
  <c r="N207" i="1"/>
  <c r="Z207" i="1" s="1"/>
  <c r="U209" i="1"/>
  <c r="T209" i="1"/>
  <c r="BI208" i="1"/>
  <c r="BH208" i="1" s="1"/>
  <c r="BG209" i="1" s="1"/>
  <c r="BJ209" i="1" l="1"/>
  <c r="BO211" i="1"/>
  <c r="BL212" i="1"/>
  <c r="AJ208" i="1"/>
  <c r="AK208" i="1" s="1"/>
  <c r="AG209" i="1"/>
  <c r="AS195" i="1"/>
  <c r="AN208" i="1"/>
  <c r="AM208" i="1"/>
  <c r="E207" i="1"/>
  <c r="F207" i="1" s="1"/>
  <c r="BT207" i="1"/>
  <c r="BS207" i="1" s="1"/>
  <c r="BZ207" i="1"/>
  <c r="CE207" i="1"/>
  <c r="BY207" i="1"/>
  <c r="Y207" i="1"/>
  <c r="AA207" i="1" s="1"/>
  <c r="N208" i="1" s="1"/>
  <c r="CG206" i="1"/>
  <c r="CD207" i="1"/>
  <c r="V209" i="1"/>
  <c r="O210" i="1" s="1"/>
  <c r="G209" i="1"/>
  <c r="AH209" i="1" l="1"/>
  <c r="AI209" i="1"/>
  <c r="BN212" i="1"/>
  <c r="BM212" i="1"/>
  <c r="AU195" i="1"/>
  <c r="AT195" i="1"/>
  <c r="AZ195" i="1"/>
  <c r="BB195" i="1" s="1"/>
  <c r="BC195" i="1" s="1"/>
  <c r="AL209" i="1"/>
  <c r="AO208" i="1"/>
  <c r="AP208" i="1" s="1"/>
  <c r="Z208" i="1"/>
  <c r="Y208" i="1"/>
  <c r="CA207" i="1"/>
  <c r="CB207" i="1" s="1"/>
  <c r="BX208" i="1" s="1"/>
  <c r="AE207" i="1"/>
  <c r="CF207" i="1"/>
  <c r="CM207" i="1"/>
  <c r="CN207" i="1" s="1"/>
  <c r="CJ207" i="1"/>
  <c r="BV207" i="1"/>
  <c r="BR208" i="1" s="1"/>
  <c r="BU208" i="1" s="1"/>
  <c r="H207" i="1"/>
  <c r="BI209" i="1"/>
  <c r="BH209" i="1" s="1"/>
  <c r="BG210" i="1" s="1"/>
  <c r="U210" i="1"/>
  <c r="T210" i="1"/>
  <c r="BO212" i="1" l="1"/>
  <c r="BL213" i="1"/>
  <c r="AJ209" i="1"/>
  <c r="AK209" i="1" s="1"/>
  <c r="AG210" i="1"/>
  <c r="BJ210" i="1"/>
  <c r="AW195" i="1"/>
  <c r="AV195" i="1"/>
  <c r="AS196" i="1" s="1"/>
  <c r="AM209" i="1"/>
  <c r="AN209" i="1"/>
  <c r="BT208" i="1"/>
  <c r="BS208" i="1" s="1"/>
  <c r="CG207" i="1"/>
  <c r="CD208" i="1"/>
  <c r="BY208" i="1"/>
  <c r="CE208" i="1"/>
  <c r="BZ208" i="1"/>
  <c r="AA208" i="1"/>
  <c r="N209" i="1" s="1"/>
  <c r="E208" i="1"/>
  <c r="F208" i="1" s="1"/>
  <c r="V210" i="1"/>
  <c r="O211" i="1" s="1"/>
  <c r="G210" i="1"/>
  <c r="AH210" i="1" l="1"/>
  <c r="AI210" i="1"/>
  <c r="BM213" i="1"/>
  <c r="BN213" i="1"/>
  <c r="AZ196" i="1"/>
  <c r="BB196" i="1" s="1"/>
  <c r="BC196" i="1" s="1"/>
  <c r="AU196" i="1"/>
  <c r="AT196" i="1"/>
  <c r="AL210" i="1"/>
  <c r="AO209" i="1"/>
  <c r="AP209" i="1" s="1"/>
  <c r="AE208" i="1"/>
  <c r="CM208" i="1"/>
  <c r="CN208" i="1" s="1"/>
  <c r="CF208" i="1"/>
  <c r="CJ208" i="1"/>
  <c r="BV208" i="1"/>
  <c r="BR209" i="1" s="1"/>
  <c r="BU209" i="1" s="1"/>
  <c r="H208" i="1"/>
  <c r="Y209" i="1"/>
  <c r="Z209" i="1"/>
  <c r="CA208" i="1"/>
  <c r="CB208" i="1" s="1"/>
  <c r="BX209" i="1" s="1"/>
  <c r="BI210" i="1"/>
  <c r="BH210" i="1" s="1"/>
  <c r="BG211" i="1" s="1"/>
  <c r="U211" i="1"/>
  <c r="T211" i="1"/>
  <c r="BO213" i="1" l="1"/>
  <c r="BL214" i="1"/>
  <c r="AJ210" i="1"/>
  <c r="AK210" i="1" s="1"/>
  <c r="AG211" i="1"/>
  <c r="BJ211" i="1"/>
  <c r="AV196" i="1"/>
  <c r="AS197" i="1" s="1"/>
  <c r="AW196" i="1"/>
  <c r="AM210" i="1"/>
  <c r="AN210" i="1"/>
  <c r="BT209" i="1"/>
  <c r="BS209" i="1" s="1"/>
  <c r="BZ209" i="1"/>
  <c r="BY209" i="1"/>
  <c r="CE209" i="1"/>
  <c r="CG208" i="1"/>
  <c r="CD209" i="1"/>
  <c r="E209" i="1"/>
  <c r="F209" i="1" s="1"/>
  <c r="AA209" i="1"/>
  <c r="V211" i="1"/>
  <c r="O212" i="1" s="1"/>
  <c r="G211" i="1"/>
  <c r="AH211" i="1" l="1"/>
  <c r="AI211" i="1"/>
  <c r="BN214" i="1"/>
  <c r="BM214" i="1"/>
  <c r="AU197" i="1"/>
  <c r="AT197" i="1"/>
  <c r="AZ197" i="1"/>
  <c r="BB197" i="1" s="1"/>
  <c r="BC197" i="1" s="1"/>
  <c r="AL211" i="1"/>
  <c r="AO210" i="1"/>
  <c r="AP210" i="1" s="1"/>
  <c r="CA209" i="1"/>
  <c r="CB209" i="1" s="1"/>
  <c r="BX210" i="1" s="1"/>
  <c r="N210" i="1"/>
  <c r="Z210" i="1" s="1"/>
  <c r="AE209" i="1"/>
  <c r="CJ209" i="1"/>
  <c r="CM209" i="1"/>
  <c r="CN209" i="1" s="1"/>
  <c r="CF209" i="1"/>
  <c r="BV209" i="1"/>
  <c r="BR210" i="1" s="1"/>
  <c r="BU210" i="1" s="1"/>
  <c r="H209" i="1"/>
  <c r="BI211" i="1"/>
  <c r="BH211" i="1" s="1"/>
  <c r="BG212" i="1" s="1"/>
  <c r="U212" i="1"/>
  <c r="T212" i="1"/>
  <c r="BO214" i="1" l="1"/>
  <c r="BL215" i="1"/>
  <c r="AJ211" i="1"/>
  <c r="AK211" i="1" s="1"/>
  <c r="AG212" i="1"/>
  <c r="BJ212" i="1"/>
  <c r="AV197" i="1"/>
  <c r="AS198" i="1" s="1"/>
  <c r="AW197" i="1"/>
  <c r="AN211" i="1"/>
  <c r="AM211" i="1"/>
  <c r="CG209" i="1"/>
  <c r="CD210" i="1"/>
  <c r="BT210" i="1"/>
  <c r="BS210" i="1" s="1"/>
  <c r="E210" i="1"/>
  <c r="F210" i="1" s="1"/>
  <c r="Y210" i="1"/>
  <c r="AA210" i="1" s="1"/>
  <c r="BY210" i="1"/>
  <c r="CE210" i="1"/>
  <c r="BZ210" i="1"/>
  <c r="V212" i="1"/>
  <c r="O213" i="1" s="1"/>
  <c r="G212" i="1"/>
  <c r="AI212" i="1" l="1"/>
  <c r="AH212" i="1"/>
  <c r="CA210" i="1"/>
  <c r="CB210" i="1" s="1"/>
  <c r="BX211" i="1" s="1"/>
  <c r="BN215" i="1"/>
  <c r="BM215" i="1"/>
  <c r="AT198" i="1"/>
  <c r="AZ198" i="1"/>
  <c r="BB198" i="1" s="1"/>
  <c r="BC198" i="1" s="1"/>
  <c r="AU198" i="1"/>
  <c r="AL212" i="1"/>
  <c r="AO211" i="1"/>
  <c r="AP211" i="1" s="1"/>
  <c r="N211" i="1"/>
  <c r="Z211" i="1" s="1"/>
  <c r="AE210" i="1"/>
  <c r="CM210" i="1"/>
  <c r="CN210" i="1" s="1"/>
  <c r="CF210" i="1"/>
  <c r="CJ210" i="1"/>
  <c r="BV210" i="1"/>
  <c r="BR211" i="1" s="1"/>
  <c r="BU211" i="1" s="1"/>
  <c r="H210" i="1"/>
  <c r="BI212" i="1"/>
  <c r="BH212" i="1" s="1"/>
  <c r="BG213" i="1" s="1"/>
  <c r="U213" i="1"/>
  <c r="T213" i="1"/>
  <c r="BO215" i="1" l="1"/>
  <c r="BL216" i="1"/>
  <c r="AJ212" i="1"/>
  <c r="AK212" i="1" s="1"/>
  <c r="AG213" i="1"/>
  <c r="BJ213" i="1"/>
  <c r="AV198" i="1"/>
  <c r="AS199" i="1" s="1"/>
  <c r="AW198" i="1"/>
  <c r="AN212" i="1"/>
  <c r="AM212" i="1"/>
  <c r="BT211" i="1"/>
  <c r="BS211" i="1" s="1"/>
  <c r="CG210" i="1"/>
  <c r="CD211" i="1"/>
  <c r="E211" i="1"/>
  <c r="F211" i="1" s="1"/>
  <c r="BY211" i="1"/>
  <c r="CE211" i="1"/>
  <c r="BZ211" i="1"/>
  <c r="Y211" i="1"/>
  <c r="AA211" i="1" s="1"/>
  <c r="V213" i="1"/>
  <c r="O214" i="1" s="1"/>
  <c r="G213" i="1"/>
  <c r="AI213" i="1" l="1"/>
  <c r="AH213" i="1"/>
  <c r="BM216" i="1"/>
  <c r="BN216" i="1"/>
  <c r="AZ199" i="1"/>
  <c r="BB199" i="1" s="1"/>
  <c r="BC199" i="1" s="1"/>
  <c r="AT199" i="1"/>
  <c r="AU199" i="1"/>
  <c r="AL213" i="1"/>
  <c r="AO212" i="1"/>
  <c r="AP212" i="1" s="1"/>
  <c r="AE211" i="1"/>
  <c r="CF211" i="1"/>
  <c r="CJ211" i="1"/>
  <c r="CM211" i="1"/>
  <c r="CN211" i="1" s="1"/>
  <c r="BV211" i="1"/>
  <c r="BR212" i="1" s="1"/>
  <c r="BU212" i="1" s="1"/>
  <c r="H211" i="1"/>
  <c r="N212" i="1"/>
  <c r="Z212" i="1" s="1"/>
  <c r="CA211" i="1"/>
  <c r="CB211" i="1" s="1"/>
  <c r="BX212" i="1" s="1"/>
  <c r="BI213" i="1"/>
  <c r="BH213" i="1" s="1"/>
  <c r="BG214" i="1" s="1"/>
  <c r="U214" i="1"/>
  <c r="T214" i="1"/>
  <c r="AY222" i="1"/>
  <c r="BA222" i="1" s="1"/>
  <c r="BO216" i="1" l="1"/>
  <c r="BL217" i="1"/>
  <c r="AG214" i="1"/>
  <c r="AJ213" i="1"/>
  <c r="AK213" i="1" s="1"/>
  <c r="BJ214" i="1"/>
  <c r="AY223" i="1"/>
  <c r="BA223" i="1" s="1"/>
  <c r="AW199" i="1"/>
  <c r="AV199" i="1"/>
  <c r="AS200" i="1" s="1"/>
  <c r="AN213" i="1"/>
  <c r="AM213" i="1"/>
  <c r="BY212" i="1"/>
  <c r="CE212" i="1"/>
  <c r="BZ212" i="1"/>
  <c r="E212" i="1"/>
  <c r="F212" i="1" s="1"/>
  <c r="Y212" i="1"/>
  <c r="AA212" i="1" s="1"/>
  <c r="BT212" i="1"/>
  <c r="BS212" i="1" s="1"/>
  <c r="CG211" i="1"/>
  <c r="CD212" i="1"/>
  <c r="V214" i="1"/>
  <c r="O215" i="1" s="1"/>
  <c r="G214" i="1"/>
  <c r="AI214" i="1" l="1"/>
  <c r="AH214" i="1"/>
  <c r="BM217" i="1"/>
  <c r="BN217" i="1"/>
  <c r="CA212" i="1"/>
  <c r="CB212" i="1" s="1"/>
  <c r="BX213" i="1" s="1"/>
  <c r="AY224" i="1"/>
  <c r="BA224" i="1" s="1"/>
  <c r="AU200" i="1"/>
  <c r="AZ200" i="1"/>
  <c r="BB200" i="1" s="1"/>
  <c r="BC200" i="1" s="1"/>
  <c r="AT200" i="1"/>
  <c r="AL214" i="1"/>
  <c r="AO213" i="1"/>
  <c r="AP213" i="1" s="1"/>
  <c r="N213" i="1"/>
  <c r="Z213" i="1" s="1"/>
  <c r="AE212" i="1"/>
  <c r="CJ212" i="1"/>
  <c r="CM212" i="1"/>
  <c r="CN212" i="1" s="1"/>
  <c r="CF212" i="1"/>
  <c r="BV212" i="1"/>
  <c r="BR213" i="1" s="1"/>
  <c r="BU213" i="1" s="1"/>
  <c r="H212" i="1"/>
  <c r="BI214" i="1"/>
  <c r="BH214" i="1" s="1"/>
  <c r="BG215" i="1" s="1"/>
  <c r="U215" i="1"/>
  <c r="T215" i="1"/>
  <c r="BO217" i="1" l="1"/>
  <c r="BL218" i="1"/>
  <c r="AJ214" i="1"/>
  <c r="AK214" i="1" s="1"/>
  <c r="AG215" i="1"/>
  <c r="BJ215" i="1"/>
  <c r="AY225" i="1"/>
  <c r="BA225" i="1" s="1"/>
  <c r="AV200" i="1"/>
  <c r="AS201" i="1" s="1"/>
  <c r="AW200" i="1"/>
  <c r="AN214" i="1"/>
  <c r="AM214" i="1"/>
  <c r="BZ213" i="1"/>
  <c r="CE213" i="1"/>
  <c r="BY213" i="1"/>
  <c r="BT213" i="1"/>
  <c r="BS213" i="1" s="1"/>
  <c r="CG212" i="1"/>
  <c r="CD213" i="1"/>
  <c r="E213" i="1"/>
  <c r="F213" i="1" s="1"/>
  <c r="Y213" i="1"/>
  <c r="AA213" i="1" s="1"/>
  <c r="V215" i="1"/>
  <c r="O216" i="1" s="1"/>
  <c r="G215" i="1"/>
  <c r="AH215" i="1" l="1"/>
  <c r="AI215" i="1"/>
  <c r="BN218" i="1"/>
  <c r="BM218" i="1"/>
  <c r="AY226" i="1"/>
  <c r="BA226" i="1" s="1"/>
  <c r="AY227" i="1" s="1"/>
  <c r="BA227" i="1" s="1"/>
  <c r="AT201" i="1"/>
  <c r="AZ201" i="1"/>
  <c r="BB201" i="1" s="1"/>
  <c r="BC201" i="1" s="1"/>
  <c r="AU201" i="1"/>
  <c r="AL215" i="1"/>
  <c r="AO214" i="1"/>
  <c r="AP214" i="1" s="1"/>
  <c r="N214" i="1"/>
  <c r="Z214" i="1" s="1"/>
  <c r="AE213" i="1"/>
  <c r="CF213" i="1"/>
  <c r="CM213" i="1"/>
  <c r="CN213" i="1" s="1"/>
  <c r="CJ213" i="1"/>
  <c r="BV213" i="1"/>
  <c r="BR214" i="1" s="1"/>
  <c r="BU214" i="1" s="1"/>
  <c r="H213" i="1"/>
  <c r="CA213" i="1"/>
  <c r="CB213" i="1" s="1"/>
  <c r="BX214" i="1" s="1"/>
  <c r="BI215" i="1"/>
  <c r="BH215" i="1" s="1"/>
  <c r="BG216" i="1" s="1"/>
  <c r="U216" i="1"/>
  <c r="T216" i="1"/>
  <c r="BO218" i="1" l="1"/>
  <c r="BL219" i="1"/>
  <c r="AG216" i="1"/>
  <c r="AJ215" i="1"/>
  <c r="AK215" i="1" s="1"/>
  <c r="BJ216" i="1"/>
  <c r="AY228" i="1"/>
  <c r="BA228" i="1" s="1"/>
  <c r="AY229" i="1" s="1"/>
  <c r="BA229" i="1" s="1"/>
  <c r="AY230" i="1" s="1"/>
  <c r="BA230" i="1" s="1"/>
  <c r="AY231" i="1" s="1"/>
  <c r="BA231" i="1" s="1"/>
  <c r="AY232" i="1" s="1"/>
  <c r="BA232" i="1" s="1"/>
  <c r="AY233" i="1" s="1"/>
  <c r="BA233" i="1" s="1"/>
  <c r="AY234" i="1" s="1"/>
  <c r="BA234" i="1" s="1"/>
  <c r="AY235" i="1" s="1"/>
  <c r="BA235" i="1" s="1"/>
  <c r="AY236" i="1" s="1"/>
  <c r="BA236" i="1" s="1"/>
  <c r="AY237" i="1" s="1"/>
  <c r="BA237" i="1" s="1"/>
  <c r="AY238" i="1" s="1"/>
  <c r="BA238" i="1" s="1"/>
  <c r="AY239" i="1" s="1"/>
  <c r="BA239" i="1" s="1"/>
  <c r="AY240" i="1" s="1"/>
  <c r="BA240" i="1" s="1"/>
  <c r="AY241" i="1" s="1"/>
  <c r="BA241" i="1" s="1"/>
  <c r="AY242" i="1" s="1"/>
  <c r="BA242" i="1" s="1"/>
  <c r="AY243" i="1" s="1"/>
  <c r="BA243" i="1" s="1"/>
  <c r="AY244" i="1" s="1"/>
  <c r="BA244" i="1" s="1"/>
  <c r="AY245" i="1" s="1"/>
  <c r="BA245" i="1" s="1"/>
  <c r="AY246" i="1" s="1"/>
  <c r="BA246" i="1" s="1"/>
  <c r="AW201" i="1"/>
  <c r="AV201" i="1"/>
  <c r="AS202" i="1" s="1"/>
  <c r="AN215" i="1"/>
  <c r="AM215" i="1"/>
  <c r="BY214" i="1"/>
  <c r="BZ214" i="1"/>
  <c r="CE214" i="1"/>
  <c r="BT214" i="1"/>
  <c r="BS214" i="1" s="1"/>
  <c r="CG213" i="1"/>
  <c r="CD214" i="1"/>
  <c r="E214" i="1"/>
  <c r="F214" i="1" s="1"/>
  <c r="Y214" i="1"/>
  <c r="AA214" i="1" s="1"/>
  <c r="G216" i="1"/>
  <c r="V216" i="1"/>
  <c r="O217" i="1" s="1"/>
  <c r="AH216" i="1" l="1"/>
  <c r="AI216" i="1"/>
  <c r="BN219" i="1"/>
  <c r="BM219" i="1"/>
  <c r="CA214" i="1"/>
  <c r="CB214" i="1" s="1"/>
  <c r="BX215" i="1" s="1"/>
  <c r="BZ215" i="1" s="1"/>
  <c r="AZ202" i="1"/>
  <c r="BB202" i="1" s="1"/>
  <c r="BC202" i="1" s="1"/>
  <c r="AT202" i="1"/>
  <c r="AU202" i="1"/>
  <c r="AL216" i="1"/>
  <c r="AO215" i="1"/>
  <c r="AP215" i="1" s="1"/>
  <c r="N215" i="1"/>
  <c r="Z215" i="1" s="1"/>
  <c r="AE214" i="1"/>
  <c r="CJ214" i="1"/>
  <c r="CM214" i="1"/>
  <c r="CN214" i="1" s="1"/>
  <c r="CF214" i="1"/>
  <c r="H214" i="1"/>
  <c r="BV214" i="1"/>
  <c r="BR215" i="1" s="1"/>
  <c r="BU215" i="1" s="1"/>
  <c r="U217" i="1"/>
  <c r="T217" i="1"/>
  <c r="BI216" i="1"/>
  <c r="BH216" i="1" s="1"/>
  <c r="BG217" i="1" s="1"/>
  <c r="BJ217" i="1" l="1"/>
  <c r="BO219" i="1"/>
  <c r="BL220" i="1"/>
  <c r="AG217" i="1"/>
  <c r="AJ216" i="1"/>
  <c r="AK216" i="1" s="1"/>
  <c r="BY215" i="1"/>
  <c r="CA215" i="1" s="1"/>
  <c r="CE215" i="1"/>
  <c r="AW202" i="1"/>
  <c r="AV202" i="1"/>
  <c r="AS203" i="1" s="1"/>
  <c r="AN216" i="1"/>
  <c r="AM216" i="1"/>
  <c r="CG214" i="1"/>
  <c r="CD215" i="1"/>
  <c r="BT215" i="1"/>
  <c r="BS215" i="1" s="1"/>
  <c r="E215" i="1"/>
  <c r="F215" i="1" s="1"/>
  <c r="Y215" i="1"/>
  <c r="AA215" i="1" s="1"/>
  <c r="V217" i="1"/>
  <c r="O218" i="1" s="1"/>
  <c r="G217" i="1"/>
  <c r="AH217" i="1" l="1"/>
  <c r="AI217" i="1"/>
  <c r="BM220" i="1"/>
  <c r="BN220" i="1"/>
  <c r="AT203" i="1"/>
  <c r="AZ203" i="1"/>
  <c r="BB203" i="1" s="1"/>
  <c r="BC203" i="1" s="1"/>
  <c r="AU203" i="1"/>
  <c r="AL217" i="1"/>
  <c r="AO216" i="1"/>
  <c r="AP216" i="1" s="1"/>
  <c r="N216" i="1"/>
  <c r="Z216" i="1" s="1"/>
  <c r="AE215" i="1"/>
  <c r="CM215" i="1"/>
  <c r="CN215" i="1" s="1"/>
  <c r="CJ215" i="1"/>
  <c r="CF215" i="1"/>
  <c r="BV215" i="1"/>
  <c r="BR216" i="1" s="1"/>
  <c r="BU216" i="1" s="1"/>
  <c r="H215" i="1"/>
  <c r="CB215" i="1"/>
  <c r="BX216" i="1" s="1"/>
  <c r="BI217" i="1"/>
  <c r="BH217" i="1" s="1"/>
  <c r="BG218" i="1" s="1"/>
  <c r="U218" i="1"/>
  <c r="T218" i="1"/>
  <c r="BO220" i="1" l="1"/>
  <c r="BL221" i="1"/>
  <c r="AG218" i="1"/>
  <c r="AJ217" i="1"/>
  <c r="AK217" i="1" s="1"/>
  <c r="BJ218" i="1"/>
  <c r="AW203" i="1"/>
  <c r="AV203" i="1"/>
  <c r="AS204" i="1" s="1"/>
  <c r="AM217" i="1"/>
  <c r="AN217" i="1"/>
  <c r="BY216" i="1"/>
  <c r="CE216" i="1"/>
  <c r="BZ216" i="1"/>
  <c r="BT216" i="1"/>
  <c r="BS216" i="1" s="1"/>
  <c r="CG215" i="1"/>
  <c r="CD216" i="1"/>
  <c r="E216" i="1"/>
  <c r="F216" i="1" s="1"/>
  <c r="Y216" i="1"/>
  <c r="AA216" i="1" s="1"/>
  <c r="V218" i="1"/>
  <c r="O219" i="1" s="1"/>
  <c r="G218" i="1"/>
  <c r="CA216" i="1" l="1"/>
  <c r="CB216" i="1" s="1"/>
  <c r="BX217" i="1" s="1"/>
  <c r="AI218" i="1"/>
  <c r="AH218" i="1"/>
  <c r="BM221" i="1"/>
  <c r="BN221" i="1"/>
  <c r="AZ204" i="1"/>
  <c r="BB204" i="1" s="1"/>
  <c r="BC204" i="1" s="1"/>
  <c r="AT204" i="1"/>
  <c r="AU204" i="1"/>
  <c r="AL218" i="1"/>
  <c r="AO217" i="1"/>
  <c r="AP217" i="1" s="1"/>
  <c r="N217" i="1"/>
  <c r="Z217" i="1" s="1"/>
  <c r="AE216" i="1"/>
  <c r="CF216" i="1"/>
  <c r="CJ216" i="1"/>
  <c r="CM216" i="1"/>
  <c r="CN216" i="1" s="1"/>
  <c r="BV216" i="1"/>
  <c r="BR217" i="1" s="1"/>
  <c r="BU217" i="1" s="1"/>
  <c r="H216" i="1"/>
  <c r="U219" i="1"/>
  <c r="T219" i="1"/>
  <c r="BI218" i="1"/>
  <c r="BH218" i="1" s="1"/>
  <c r="BG219" i="1" s="1"/>
  <c r="BO221" i="1" l="1"/>
  <c r="BL222" i="1"/>
  <c r="AJ218" i="1"/>
  <c r="AK218" i="1" s="1"/>
  <c r="AG219" i="1"/>
  <c r="BJ219" i="1"/>
  <c r="AV204" i="1"/>
  <c r="AS205" i="1" s="1"/>
  <c r="AW204" i="1"/>
  <c r="AN218" i="1"/>
  <c r="AM218" i="1"/>
  <c r="BZ217" i="1"/>
  <c r="BY217" i="1"/>
  <c r="CE217" i="1"/>
  <c r="BT217" i="1"/>
  <c r="BS217" i="1" s="1"/>
  <c r="CG216" i="1"/>
  <c r="CD217" i="1"/>
  <c r="E217" i="1"/>
  <c r="F217" i="1" s="1"/>
  <c r="Y217" i="1"/>
  <c r="AA217" i="1" s="1"/>
  <c r="V219" i="1"/>
  <c r="O220" i="1" s="1"/>
  <c r="G219" i="1"/>
  <c r="AH219" i="1" l="1"/>
  <c r="AI219" i="1"/>
  <c r="BN222" i="1"/>
  <c r="BM222" i="1"/>
  <c r="AZ205" i="1"/>
  <c r="BB205" i="1" s="1"/>
  <c r="BC205" i="1" s="1"/>
  <c r="AT205" i="1"/>
  <c r="AU205" i="1"/>
  <c r="AL219" i="1"/>
  <c r="AO218" i="1"/>
  <c r="AP218" i="1" s="1"/>
  <c r="N218" i="1"/>
  <c r="Z218" i="1" s="1"/>
  <c r="AE217" i="1"/>
  <c r="CM217" i="1"/>
  <c r="CN217" i="1" s="1"/>
  <c r="CJ217" i="1"/>
  <c r="CF217" i="1"/>
  <c r="BV217" i="1"/>
  <c r="BR218" i="1" s="1"/>
  <c r="BU218" i="1" s="1"/>
  <c r="H217" i="1"/>
  <c r="CA217" i="1"/>
  <c r="CB217" i="1" s="1"/>
  <c r="BX218" i="1" s="1"/>
  <c r="BI219" i="1"/>
  <c r="BH219" i="1" s="1"/>
  <c r="BG220" i="1" s="1"/>
  <c r="U220" i="1"/>
  <c r="T220" i="1"/>
  <c r="BO222" i="1" l="1"/>
  <c r="BL223" i="1"/>
  <c r="AG220" i="1"/>
  <c r="AJ219" i="1"/>
  <c r="AK219" i="1" s="1"/>
  <c r="BJ220" i="1"/>
  <c r="AW205" i="1"/>
  <c r="AV205" i="1"/>
  <c r="AS206" i="1" s="1"/>
  <c r="AN219" i="1"/>
  <c r="AM219" i="1"/>
  <c r="BY218" i="1"/>
  <c r="BZ218" i="1"/>
  <c r="CE218" i="1"/>
  <c r="BT218" i="1"/>
  <c r="BS218" i="1" s="1"/>
  <c r="CG217" i="1"/>
  <c r="CD218" i="1"/>
  <c r="E218" i="1"/>
  <c r="F218" i="1" s="1"/>
  <c r="Y218" i="1"/>
  <c r="AA218" i="1" s="1"/>
  <c r="V220" i="1"/>
  <c r="O221" i="1" s="1"/>
  <c r="G220" i="1"/>
  <c r="AI220" i="1" l="1"/>
  <c r="AH220" i="1"/>
  <c r="BN223" i="1"/>
  <c r="BM223" i="1"/>
  <c r="CA218" i="1"/>
  <c r="CB218" i="1" s="1"/>
  <c r="BX219" i="1" s="1"/>
  <c r="AU206" i="1"/>
  <c r="AT206" i="1"/>
  <c r="AZ206" i="1"/>
  <c r="BB206" i="1" s="1"/>
  <c r="BC206" i="1" s="1"/>
  <c r="AL220" i="1"/>
  <c r="AO219" i="1"/>
  <c r="AP219" i="1" s="1"/>
  <c r="N219" i="1"/>
  <c r="Z219" i="1" s="1"/>
  <c r="AE218" i="1"/>
  <c r="CM218" i="1"/>
  <c r="CN218" i="1" s="1"/>
  <c r="CJ218" i="1"/>
  <c r="CF218" i="1"/>
  <c r="BV218" i="1"/>
  <c r="BR219" i="1" s="1"/>
  <c r="BU219" i="1" s="1"/>
  <c r="H218" i="1"/>
  <c r="BI220" i="1"/>
  <c r="BH220" i="1" s="1"/>
  <c r="BG221" i="1" s="1"/>
  <c r="U221" i="1"/>
  <c r="T221" i="1"/>
  <c r="BO223" i="1" l="1"/>
  <c r="BL224" i="1"/>
  <c r="AJ220" i="1"/>
  <c r="AK220" i="1" s="1"/>
  <c r="AG221" i="1"/>
  <c r="BJ221" i="1"/>
  <c r="AW206" i="1"/>
  <c r="AV206" i="1"/>
  <c r="AS207" i="1" s="1"/>
  <c r="AN220" i="1"/>
  <c r="AM220" i="1"/>
  <c r="BT219" i="1"/>
  <c r="BS219" i="1" s="1"/>
  <c r="CG218" i="1"/>
  <c r="CD219" i="1"/>
  <c r="BZ219" i="1"/>
  <c r="BY219" i="1"/>
  <c r="CE219" i="1"/>
  <c r="E219" i="1"/>
  <c r="F219" i="1" s="1"/>
  <c r="Y219" i="1"/>
  <c r="AA219" i="1" s="1"/>
  <c r="N220" i="1" s="1"/>
  <c r="V221" i="1"/>
  <c r="O222" i="1" s="1"/>
  <c r="G221" i="1"/>
  <c r="AI221" i="1" l="1"/>
  <c r="AH221" i="1"/>
  <c r="BN224" i="1"/>
  <c r="BM224" i="1"/>
  <c r="AZ207" i="1"/>
  <c r="BB207" i="1" s="1"/>
  <c r="BC207" i="1" s="1"/>
  <c r="AU207" i="1"/>
  <c r="AT207" i="1"/>
  <c r="AL221" i="1"/>
  <c r="AO220" i="1"/>
  <c r="AP220" i="1" s="1"/>
  <c r="Z220" i="1"/>
  <c r="Y220" i="1"/>
  <c r="CA219" i="1"/>
  <c r="CB219" i="1" s="1"/>
  <c r="BX220" i="1" s="1"/>
  <c r="AE219" i="1"/>
  <c r="CJ219" i="1"/>
  <c r="CF219" i="1"/>
  <c r="CM219" i="1"/>
  <c r="CN219" i="1" s="1"/>
  <c r="BV219" i="1"/>
  <c r="BR220" i="1" s="1"/>
  <c r="BU220" i="1" s="1"/>
  <c r="H219" i="1"/>
  <c r="BI221" i="1"/>
  <c r="BH221" i="1" s="1"/>
  <c r="BG222" i="1" s="1"/>
  <c r="U222" i="1"/>
  <c r="T222" i="1"/>
  <c r="BJ222" i="1" l="1"/>
  <c r="BO224" i="1"/>
  <c r="BL225" i="1"/>
  <c r="AG222" i="1"/>
  <c r="AJ221" i="1"/>
  <c r="AK221" i="1" s="1"/>
  <c r="AW207" i="1"/>
  <c r="AV207" i="1"/>
  <c r="AS208" i="1" s="1"/>
  <c r="AN221" i="1"/>
  <c r="AM221" i="1"/>
  <c r="BT220" i="1"/>
  <c r="BS220" i="1" s="1"/>
  <c r="CG219" i="1"/>
  <c r="CD220" i="1"/>
  <c r="BY220" i="1"/>
  <c r="BZ220" i="1"/>
  <c r="CE220" i="1"/>
  <c r="AA220" i="1"/>
  <c r="N221" i="1" s="1"/>
  <c r="E220" i="1"/>
  <c r="F220" i="1" s="1"/>
  <c r="V222" i="1"/>
  <c r="O223" i="1" s="1"/>
  <c r="G222" i="1"/>
  <c r="AH222" i="1" l="1"/>
  <c r="AI222" i="1"/>
  <c r="BN225" i="1"/>
  <c r="BM225" i="1"/>
  <c r="CA220" i="1"/>
  <c r="CB220" i="1" s="1"/>
  <c r="BX221" i="1" s="1"/>
  <c r="CE221" i="1" s="1"/>
  <c r="AU208" i="1"/>
  <c r="AZ208" i="1"/>
  <c r="BB208" i="1" s="1"/>
  <c r="BC208" i="1" s="1"/>
  <c r="AT208" i="1"/>
  <c r="AL222" i="1"/>
  <c r="AO221" i="1"/>
  <c r="AP221" i="1" s="1"/>
  <c r="AE220" i="1"/>
  <c r="CJ220" i="1"/>
  <c r="CM220" i="1"/>
  <c r="CN220" i="1" s="1"/>
  <c r="CF220" i="1"/>
  <c r="BV220" i="1"/>
  <c r="BR221" i="1" s="1"/>
  <c r="BU221" i="1" s="1"/>
  <c r="H220" i="1"/>
  <c r="Y221" i="1"/>
  <c r="Z221" i="1"/>
  <c r="BI222" i="1"/>
  <c r="BH222" i="1" s="1"/>
  <c r="BG223" i="1" s="1"/>
  <c r="U223" i="1"/>
  <c r="T223" i="1"/>
  <c r="BO225" i="1" l="1"/>
  <c r="BL226" i="1"/>
  <c r="AJ222" i="1"/>
  <c r="AK222" i="1" s="1"/>
  <c r="AG223" i="1"/>
  <c r="BJ223" i="1"/>
  <c r="BY221" i="1"/>
  <c r="BZ221" i="1"/>
  <c r="AV208" i="1"/>
  <c r="AS209" i="1" s="1"/>
  <c r="AW208" i="1"/>
  <c r="AM222" i="1"/>
  <c r="AN222" i="1"/>
  <c r="CG220" i="1"/>
  <c r="CD221" i="1"/>
  <c r="E221" i="1"/>
  <c r="F221" i="1" s="1"/>
  <c r="AA221" i="1"/>
  <c r="BT221" i="1"/>
  <c r="BS221" i="1" s="1"/>
  <c r="G223" i="1"/>
  <c r="V223" i="1"/>
  <c r="O224" i="1" s="1"/>
  <c r="CA221" i="1" l="1"/>
  <c r="CB221" i="1" s="1"/>
  <c r="BX222" i="1" s="1"/>
  <c r="BZ222" i="1" s="1"/>
  <c r="AI223" i="1"/>
  <c r="AH223" i="1"/>
  <c r="BM226" i="1"/>
  <c r="BN226" i="1"/>
  <c r="AT209" i="1"/>
  <c r="AZ209" i="1"/>
  <c r="BB209" i="1" s="1"/>
  <c r="BC209" i="1" s="1"/>
  <c r="AU209" i="1"/>
  <c r="AL223" i="1"/>
  <c r="AO222" i="1"/>
  <c r="AP222" i="1" s="1"/>
  <c r="N222" i="1"/>
  <c r="Z222" i="1" s="1"/>
  <c r="AE221" i="1"/>
  <c r="CJ221" i="1"/>
  <c r="CM221" i="1"/>
  <c r="CN221" i="1" s="1"/>
  <c r="CF221" i="1"/>
  <c r="H221" i="1"/>
  <c r="BV221" i="1"/>
  <c r="BR222" i="1" s="1"/>
  <c r="BU222" i="1" s="1"/>
  <c r="U224" i="1"/>
  <c r="T224" i="1"/>
  <c r="BI223" i="1"/>
  <c r="BH223" i="1" s="1"/>
  <c r="BG224" i="1" s="1"/>
  <c r="BY222" i="1" l="1"/>
  <c r="CE222" i="1"/>
  <c r="BO226" i="1"/>
  <c r="BL227" i="1"/>
  <c r="AG224" i="1"/>
  <c r="AJ223" i="1"/>
  <c r="AK223" i="1" s="1"/>
  <c r="BJ224" i="1"/>
  <c r="AV209" i="1"/>
  <c r="AS210" i="1" s="1"/>
  <c r="AW209" i="1"/>
  <c r="AN223" i="1"/>
  <c r="AM223" i="1"/>
  <c r="BT222" i="1"/>
  <c r="BS222" i="1" s="1"/>
  <c r="E222" i="1"/>
  <c r="F222" i="1" s="1"/>
  <c r="CG221" i="1"/>
  <c r="CD222" i="1"/>
  <c r="Y222" i="1"/>
  <c r="AA222" i="1" s="1"/>
  <c r="CA222" i="1"/>
  <c r="V224" i="1"/>
  <c r="O225" i="1" s="1"/>
  <c r="G224" i="1"/>
  <c r="AH224" i="1" l="1"/>
  <c r="AI224" i="1"/>
  <c r="BM227" i="1"/>
  <c r="BN227" i="1"/>
  <c r="AU210" i="1"/>
  <c r="AT210" i="1"/>
  <c r="AZ210" i="1"/>
  <c r="BB210" i="1" s="1"/>
  <c r="BC210" i="1" s="1"/>
  <c r="AL224" i="1"/>
  <c r="AO223" i="1"/>
  <c r="AP223" i="1" s="1"/>
  <c r="N223" i="1"/>
  <c r="Z223" i="1" s="1"/>
  <c r="AE222" i="1"/>
  <c r="CF222" i="1"/>
  <c r="CJ222" i="1"/>
  <c r="CM222" i="1"/>
  <c r="CN222" i="1" s="1"/>
  <c r="BV222" i="1"/>
  <c r="BR223" i="1" s="1"/>
  <c r="BU223" i="1" s="1"/>
  <c r="H222" i="1"/>
  <c r="CB222" i="1"/>
  <c r="BX223" i="1" s="1"/>
  <c r="BI224" i="1"/>
  <c r="BH224" i="1" s="1"/>
  <c r="BG225" i="1" s="1"/>
  <c r="U225" i="1"/>
  <c r="T225" i="1"/>
  <c r="BO227" i="1" l="1"/>
  <c r="BL228" i="1"/>
  <c r="AJ224" i="1"/>
  <c r="AK224" i="1" s="1"/>
  <c r="AG225" i="1"/>
  <c r="BJ225" i="1"/>
  <c r="AV210" i="1"/>
  <c r="AS211" i="1" s="1"/>
  <c r="AW210" i="1"/>
  <c r="AN224" i="1"/>
  <c r="AM224" i="1"/>
  <c r="CE223" i="1"/>
  <c r="BY223" i="1"/>
  <c r="BZ223" i="1"/>
  <c r="CG222" i="1"/>
  <c r="CD223" i="1"/>
  <c r="E223" i="1"/>
  <c r="F223" i="1" s="1"/>
  <c r="BT223" i="1"/>
  <c r="BS223" i="1" s="1"/>
  <c r="Y223" i="1"/>
  <c r="AA223" i="1" s="1"/>
  <c r="V225" i="1"/>
  <c r="O226" i="1" s="1"/>
  <c r="G225" i="1"/>
  <c r="CA223" i="1" l="1"/>
  <c r="CB223" i="1" s="1"/>
  <c r="BX224" i="1" s="1"/>
  <c r="AI225" i="1"/>
  <c r="AH225" i="1"/>
  <c r="BN228" i="1"/>
  <c r="BM228" i="1"/>
  <c r="AU211" i="1"/>
  <c r="AZ211" i="1"/>
  <c r="BB211" i="1" s="1"/>
  <c r="BC211" i="1" s="1"/>
  <c r="AT211" i="1"/>
  <c r="AL225" i="1"/>
  <c r="AO224" i="1"/>
  <c r="AP224" i="1" s="1"/>
  <c r="N224" i="1"/>
  <c r="Z224" i="1" s="1"/>
  <c r="AE223" i="1"/>
  <c r="CM223" i="1"/>
  <c r="CN223" i="1" s="1"/>
  <c r="CF223" i="1"/>
  <c r="CJ223" i="1"/>
  <c r="BV223" i="1"/>
  <c r="BR224" i="1" s="1"/>
  <c r="BU224" i="1" s="1"/>
  <c r="H223" i="1"/>
  <c r="BI225" i="1"/>
  <c r="BH225" i="1" s="1"/>
  <c r="BG226" i="1" s="1"/>
  <c r="U226" i="1"/>
  <c r="T226" i="1"/>
  <c r="BO228" i="1" l="1"/>
  <c r="BL229" i="1"/>
  <c r="AJ225" i="1"/>
  <c r="AK225" i="1" s="1"/>
  <c r="AG226" i="1"/>
  <c r="BJ226" i="1"/>
  <c r="AV211" i="1"/>
  <c r="AS212" i="1" s="1"/>
  <c r="AW211" i="1"/>
  <c r="AN225" i="1"/>
  <c r="AM225" i="1"/>
  <c r="CE224" i="1"/>
  <c r="BZ224" i="1"/>
  <c r="BY224" i="1"/>
  <c r="CG223" i="1"/>
  <c r="CD224" i="1"/>
  <c r="E224" i="1"/>
  <c r="F224" i="1" s="1"/>
  <c r="BT224" i="1"/>
  <c r="BS224" i="1" s="1"/>
  <c r="Y224" i="1"/>
  <c r="AA224" i="1" s="1"/>
  <c r="G226" i="1"/>
  <c r="V226" i="1"/>
  <c r="O227" i="1" s="1"/>
  <c r="AH226" i="1" l="1"/>
  <c r="AI226" i="1"/>
  <c r="BM229" i="1"/>
  <c r="BN229" i="1"/>
  <c r="AU212" i="1"/>
  <c r="AZ212" i="1"/>
  <c r="BB212" i="1" s="1"/>
  <c r="BC212" i="1" s="1"/>
  <c r="AT212" i="1"/>
  <c r="AL226" i="1"/>
  <c r="AO225" i="1"/>
  <c r="AP225" i="1" s="1"/>
  <c r="AE224" i="1"/>
  <c r="CJ224" i="1"/>
  <c r="CM224" i="1"/>
  <c r="CN224" i="1" s="1"/>
  <c r="CF224" i="1"/>
  <c r="BV224" i="1"/>
  <c r="BR225" i="1" s="1"/>
  <c r="BU225" i="1" s="1"/>
  <c r="H224" i="1"/>
  <c r="N225" i="1"/>
  <c r="Z225" i="1" s="1"/>
  <c r="CA224" i="1"/>
  <c r="CB224" i="1" s="1"/>
  <c r="BX225" i="1" s="1"/>
  <c r="U227" i="1"/>
  <c r="T227" i="1"/>
  <c r="BI226" i="1"/>
  <c r="BH226" i="1" s="1"/>
  <c r="BG227" i="1" s="1"/>
  <c r="BJ227" i="1" l="1"/>
  <c r="BO229" i="1"/>
  <c r="BL230" i="1"/>
  <c r="AJ226" i="1"/>
  <c r="AK226" i="1" s="1"/>
  <c r="AG227" i="1"/>
  <c r="AW212" i="1"/>
  <c r="AV212" i="1"/>
  <c r="AS213" i="1" s="1"/>
  <c r="AM226" i="1"/>
  <c r="AN226" i="1"/>
  <c r="CE225" i="1"/>
  <c r="BY225" i="1"/>
  <c r="BZ225" i="1"/>
  <c r="BT225" i="1"/>
  <c r="BS225" i="1" s="1"/>
  <c r="CG224" i="1"/>
  <c r="CD225" i="1"/>
  <c r="Y225" i="1"/>
  <c r="AA225" i="1" s="1"/>
  <c r="E225" i="1"/>
  <c r="F225" i="1" s="1"/>
  <c r="V227" i="1"/>
  <c r="O228" i="1" s="1"/>
  <c r="G227" i="1"/>
  <c r="AI227" i="1" l="1"/>
  <c r="AH227" i="1"/>
  <c r="BN230" i="1"/>
  <c r="BM230" i="1"/>
  <c r="CA225" i="1"/>
  <c r="CB225" i="1" s="1"/>
  <c r="BX226" i="1" s="1"/>
  <c r="BY226" i="1" s="1"/>
  <c r="AT213" i="1"/>
  <c r="AU213" i="1"/>
  <c r="AZ213" i="1"/>
  <c r="BB213" i="1" s="1"/>
  <c r="BC213" i="1" s="1"/>
  <c r="AL227" i="1"/>
  <c r="AO226" i="1"/>
  <c r="AP226" i="1" s="1"/>
  <c r="AE225" i="1"/>
  <c r="CF225" i="1"/>
  <c r="CJ225" i="1"/>
  <c r="CM225" i="1"/>
  <c r="CN225" i="1" s="1"/>
  <c r="BV225" i="1"/>
  <c r="BR226" i="1" s="1"/>
  <c r="BU226" i="1" s="1"/>
  <c r="H225" i="1"/>
  <c r="N226" i="1"/>
  <c r="Z226" i="1" s="1"/>
  <c r="BI227" i="1"/>
  <c r="BH227" i="1" s="1"/>
  <c r="BG228" i="1" s="1"/>
  <c r="U228" i="1"/>
  <c r="T228" i="1"/>
  <c r="BO230" i="1" l="1"/>
  <c r="BL231" i="1"/>
  <c r="AJ227" i="1"/>
  <c r="AK227" i="1" s="1"/>
  <c r="AG228" i="1"/>
  <c r="BJ228" i="1"/>
  <c r="BZ226" i="1"/>
  <c r="CA226" i="1" s="1"/>
  <c r="CE226" i="1"/>
  <c r="AV213" i="1"/>
  <c r="AS214" i="1" s="1"/>
  <c r="AW213" i="1"/>
  <c r="AN227" i="1"/>
  <c r="AM227" i="1"/>
  <c r="Y226" i="1"/>
  <c r="AA226" i="1" s="1"/>
  <c r="E226" i="1"/>
  <c r="F226" i="1" s="1"/>
  <c r="BT226" i="1"/>
  <c r="BS226" i="1" s="1"/>
  <c r="CG225" i="1"/>
  <c r="CD226" i="1"/>
  <c r="G228" i="1"/>
  <c r="V228" i="1"/>
  <c r="O229" i="1" s="1"/>
  <c r="CB226" i="1" l="1"/>
  <c r="BX227" i="1" s="1"/>
  <c r="BZ227" i="1" s="1"/>
  <c r="AH228" i="1"/>
  <c r="AI228" i="1"/>
  <c r="BN231" i="1"/>
  <c r="BM231" i="1"/>
  <c r="AZ214" i="1"/>
  <c r="BB214" i="1" s="1"/>
  <c r="BC214" i="1" s="1"/>
  <c r="AT214" i="1"/>
  <c r="AU214" i="1"/>
  <c r="AL228" i="1"/>
  <c r="AO227" i="1"/>
  <c r="AP227" i="1" s="1"/>
  <c r="N227" i="1"/>
  <c r="Z227" i="1" s="1"/>
  <c r="AE226" i="1"/>
  <c r="CM226" i="1"/>
  <c r="CN226" i="1" s="1"/>
  <c r="CF226" i="1"/>
  <c r="CJ226" i="1"/>
  <c r="BV226" i="1"/>
  <c r="BR227" i="1" s="1"/>
  <c r="BU227" i="1" s="1"/>
  <c r="H226" i="1"/>
  <c r="U229" i="1"/>
  <c r="T229" i="1"/>
  <c r="BI228" i="1"/>
  <c r="BH228" i="1" s="1"/>
  <c r="BG229" i="1" s="1"/>
  <c r="CE227" i="1" l="1"/>
  <c r="BY227" i="1"/>
  <c r="CA227" i="1" s="1"/>
  <c r="BO231" i="1"/>
  <c r="BL232" i="1"/>
  <c r="AG229" i="1"/>
  <c r="AJ228" i="1"/>
  <c r="AK228" i="1" s="1"/>
  <c r="BJ229" i="1"/>
  <c r="AW214" i="1"/>
  <c r="AV214" i="1"/>
  <c r="AS215" i="1" s="1"/>
  <c r="AM228" i="1"/>
  <c r="AN228" i="1"/>
  <c r="Y227" i="1"/>
  <c r="AA227" i="1" s="1"/>
  <c r="CG226" i="1"/>
  <c r="CD227" i="1"/>
  <c r="BT227" i="1"/>
  <c r="BS227" i="1" s="1"/>
  <c r="E227" i="1"/>
  <c r="F227" i="1" s="1"/>
  <c r="V229" i="1"/>
  <c r="O230" i="1" s="1"/>
  <c r="G229" i="1"/>
  <c r="AH229" i="1" l="1"/>
  <c r="AI229" i="1"/>
  <c r="BN232" i="1"/>
  <c r="BM232" i="1"/>
  <c r="AU215" i="1"/>
  <c r="AZ215" i="1"/>
  <c r="BB215" i="1" s="1"/>
  <c r="BC215" i="1" s="1"/>
  <c r="AT215" i="1"/>
  <c r="AL229" i="1"/>
  <c r="AO228" i="1"/>
  <c r="AP228" i="1" s="1"/>
  <c r="AE227" i="1"/>
  <c r="CJ227" i="1"/>
  <c r="CF227" i="1"/>
  <c r="CM227" i="1"/>
  <c r="CN227" i="1" s="1"/>
  <c r="H227" i="1"/>
  <c r="BV227" i="1"/>
  <c r="BR228" i="1" s="1"/>
  <c r="BU228" i="1" s="1"/>
  <c r="N228" i="1"/>
  <c r="Z228" i="1" s="1"/>
  <c r="CB227" i="1"/>
  <c r="BX228" i="1" s="1"/>
  <c r="BI229" i="1"/>
  <c r="BH229" i="1" s="1"/>
  <c r="BG230" i="1" s="1"/>
  <c r="U230" i="1"/>
  <c r="T230" i="1"/>
  <c r="BO232" i="1" l="1"/>
  <c r="BL233" i="1"/>
  <c r="AJ229" i="1"/>
  <c r="AK229" i="1" s="1"/>
  <c r="AG230" i="1"/>
  <c r="BJ230" i="1"/>
  <c r="AW215" i="1"/>
  <c r="AV215" i="1"/>
  <c r="AS216" i="1" s="1"/>
  <c r="AM229" i="1"/>
  <c r="AN229" i="1"/>
  <c r="E228" i="1"/>
  <c r="F228" i="1" s="1"/>
  <c r="BT228" i="1"/>
  <c r="BS228" i="1" s="1"/>
  <c r="CG227" i="1"/>
  <c r="CD228" i="1"/>
  <c r="Y228" i="1"/>
  <c r="AA228" i="1" s="1"/>
  <c r="BY228" i="1"/>
  <c r="BZ228" i="1"/>
  <c r="CE228" i="1"/>
  <c r="G230" i="1"/>
  <c r="V230" i="1"/>
  <c r="O231" i="1" s="1"/>
  <c r="AH230" i="1" l="1"/>
  <c r="AI230" i="1"/>
  <c r="BM233" i="1"/>
  <c r="BN233" i="1"/>
  <c r="CA228" i="1"/>
  <c r="CB228" i="1" s="1"/>
  <c r="BX229" i="1" s="1"/>
  <c r="CE229" i="1" s="1"/>
  <c r="AT216" i="1"/>
  <c r="AU216" i="1"/>
  <c r="AZ216" i="1"/>
  <c r="BB216" i="1" s="1"/>
  <c r="BC216" i="1" s="1"/>
  <c r="AL230" i="1"/>
  <c r="AO229" i="1"/>
  <c r="AP229" i="1" s="1"/>
  <c r="N229" i="1"/>
  <c r="Z229" i="1" s="1"/>
  <c r="AE228" i="1"/>
  <c r="CJ228" i="1"/>
  <c r="CM228" i="1"/>
  <c r="CN228" i="1" s="1"/>
  <c r="CF228" i="1"/>
  <c r="BV228" i="1"/>
  <c r="BR229" i="1" s="1"/>
  <c r="BU229" i="1" s="1"/>
  <c r="H228" i="1"/>
  <c r="U231" i="1"/>
  <c r="T231" i="1"/>
  <c r="BI230" i="1"/>
  <c r="BH230" i="1" s="1"/>
  <c r="BG231" i="1" s="1"/>
  <c r="BZ229" i="1" l="1"/>
  <c r="BY229" i="1"/>
  <c r="BO233" i="1"/>
  <c r="BL234" i="1"/>
  <c r="AJ230" i="1"/>
  <c r="AK230" i="1" s="1"/>
  <c r="AG231" i="1"/>
  <c r="BJ231" i="1"/>
  <c r="AW216" i="1"/>
  <c r="AV216" i="1"/>
  <c r="AS217" i="1" s="1"/>
  <c r="AN230" i="1"/>
  <c r="AM230" i="1"/>
  <c r="BT229" i="1"/>
  <c r="BS229" i="1" s="1"/>
  <c r="E229" i="1"/>
  <c r="F229" i="1" s="1"/>
  <c r="CG228" i="1"/>
  <c r="CD229" i="1"/>
  <c r="Y229" i="1"/>
  <c r="AA229" i="1" s="1"/>
  <c r="V231" i="1"/>
  <c r="O232" i="1" s="1"/>
  <c r="G231" i="1"/>
  <c r="CA229" i="1" l="1"/>
  <c r="CB229" i="1" s="1"/>
  <c r="BX230" i="1" s="1"/>
  <c r="AI231" i="1"/>
  <c r="AH231" i="1"/>
  <c r="BM234" i="1"/>
  <c r="BN234" i="1"/>
  <c r="AU217" i="1"/>
  <c r="AT217" i="1"/>
  <c r="AZ217" i="1"/>
  <c r="BB217" i="1" s="1"/>
  <c r="BC217" i="1" s="1"/>
  <c r="AL231" i="1"/>
  <c r="AO230" i="1"/>
  <c r="AP230" i="1" s="1"/>
  <c r="AE229" i="1"/>
  <c r="CF229" i="1"/>
  <c r="CJ229" i="1"/>
  <c r="CM229" i="1"/>
  <c r="CN229" i="1" s="1"/>
  <c r="BV229" i="1"/>
  <c r="BR230" i="1" s="1"/>
  <c r="BU230" i="1" s="1"/>
  <c r="H229" i="1"/>
  <c r="N230" i="1"/>
  <c r="Z230" i="1" s="1"/>
  <c r="BI231" i="1"/>
  <c r="BH231" i="1" s="1"/>
  <c r="BG232" i="1" s="1"/>
  <c r="U232" i="1"/>
  <c r="T232" i="1"/>
  <c r="BO234" i="1" l="1"/>
  <c r="BL235" i="1"/>
  <c r="AG232" i="1"/>
  <c r="AJ231" i="1"/>
  <c r="AK231" i="1" s="1"/>
  <c r="BJ232" i="1"/>
  <c r="AV217" i="1"/>
  <c r="AS218" i="1" s="1"/>
  <c r="AW217" i="1"/>
  <c r="AN231" i="1"/>
  <c r="AM231" i="1"/>
  <c r="BT230" i="1"/>
  <c r="BS230" i="1" s="1"/>
  <c r="Y230" i="1"/>
  <c r="AA230" i="1" s="1"/>
  <c r="E230" i="1"/>
  <c r="F230" i="1" s="1"/>
  <c r="CE230" i="1"/>
  <c r="BY230" i="1"/>
  <c r="BZ230" i="1"/>
  <c r="CG229" i="1"/>
  <c r="CD230" i="1"/>
  <c r="V232" i="1"/>
  <c r="O233" i="1" s="1"/>
  <c r="G232" i="1"/>
  <c r="CA230" i="1" l="1"/>
  <c r="CB230" i="1" s="1"/>
  <c r="BX231" i="1" s="1"/>
  <c r="CE231" i="1" s="1"/>
  <c r="AH232" i="1"/>
  <c r="AI232" i="1"/>
  <c r="BN235" i="1"/>
  <c r="BM235" i="1"/>
  <c r="AT218" i="1"/>
  <c r="AZ218" i="1"/>
  <c r="BB218" i="1" s="1"/>
  <c r="BC218" i="1" s="1"/>
  <c r="AU218" i="1"/>
  <c r="AL232" i="1"/>
  <c r="AO231" i="1"/>
  <c r="AP231" i="1" s="1"/>
  <c r="N231" i="1"/>
  <c r="Z231" i="1" s="1"/>
  <c r="AE230" i="1"/>
  <c r="CF230" i="1"/>
  <c r="CM230" i="1"/>
  <c r="CN230" i="1" s="1"/>
  <c r="CJ230" i="1"/>
  <c r="H230" i="1"/>
  <c r="BV230" i="1"/>
  <c r="BR231" i="1" s="1"/>
  <c r="BU231" i="1" s="1"/>
  <c r="BI232" i="1"/>
  <c r="BH232" i="1" s="1"/>
  <c r="BG233" i="1" s="1"/>
  <c r="U233" i="1"/>
  <c r="T233" i="1"/>
  <c r="BZ231" i="1" l="1"/>
  <c r="BY231" i="1"/>
  <c r="BO235" i="1"/>
  <c r="BL236" i="1"/>
  <c r="AJ232" i="1"/>
  <c r="AK232" i="1" s="1"/>
  <c r="AG233" i="1"/>
  <c r="BJ233" i="1"/>
  <c r="AW218" i="1"/>
  <c r="AV218" i="1"/>
  <c r="AS219" i="1" s="1"/>
  <c r="AM232" i="1"/>
  <c r="AN232" i="1"/>
  <c r="Y231" i="1"/>
  <c r="AA231" i="1" s="1"/>
  <c r="CG230" i="1"/>
  <c r="CD231" i="1"/>
  <c r="BT231" i="1"/>
  <c r="BS231" i="1" s="1"/>
  <c r="E231" i="1"/>
  <c r="F231" i="1" s="1"/>
  <c r="V233" i="1"/>
  <c r="O234" i="1" s="1"/>
  <c r="G233" i="1"/>
  <c r="CA231" i="1" l="1"/>
  <c r="CB231" i="1" s="1"/>
  <c r="BX232" i="1" s="1"/>
  <c r="BZ232" i="1" s="1"/>
  <c r="AH233" i="1"/>
  <c r="AI233" i="1"/>
  <c r="BN236" i="1"/>
  <c r="BM236" i="1"/>
  <c r="AU219" i="1"/>
  <c r="AZ219" i="1"/>
  <c r="BB219" i="1" s="1"/>
  <c r="BC219" i="1" s="1"/>
  <c r="AT219" i="1"/>
  <c r="AL233" i="1"/>
  <c r="AO232" i="1"/>
  <c r="AP232" i="1" s="1"/>
  <c r="N232" i="1"/>
  <c r="Z232" i="1" s="1"/>
  <c r="AE231" i="1"/>
  <c r="CJ231" i="1"/>
  <c r="CM231" i="1"/>
  <c r="CN231" i="1" s="1"/>
  <c r="CF231" i="1"/>
  <c r="BV231" i="1"/>
  <c r="BR232" i="1" s="1"/>
  <c r="BU232" i="1" s="1"/>
  <c r="H231" i="1"/>
  <c r="BI233" i="1"/>
  <c r="BH233" i="1" s="1"/>
  <c r="BG234" i="1" s="1"/>
  <c r="U234" i="1"/>
  <c r="T234" i="1"/>
  <c r="CE232" i="1" l="1"/>
  <c r="BY232" i="1"/>
  <c r="CA232" i="1" s="1"/>
  <c r="BO236" i="1"/>
  <c r="BL237" i="1"/>
  <c r="AJ233" i="1"/>
  <c r="AK233" i="1" s="1"/>
  <c r="AG234" i="1"/>
  <c r="BJ234" i="1"/>
  <c r="AW219" i="1"/>
  <c r="AV219" i="1"/>
  <c r="AS220" i="1" s="1"/>
  <c r="AM233" i="1"/>
  <c r="AN233" i="1"/>
  <c r="BT232" i="1"/>
  <c r="BS232" i="1" s="1"/>
  <c r="CG231" i="1"/>
  <c r="CD232" i="1"/>
  <c r="E232" i="1"/>
  <c r="F232" i="1" s="1"/>
  <c r="Y232" i="1"/>
  <c r="AA232" i="1" s="1"/>
  <c r="G234" i="1"/>
  <c r="V234" i="1"/>
  <c r="O235" i="1" s="1"/>
  <c r="AH234" i="1" l="1"/>
  <c r="AI234" i="1"/>
  <c r="BN237" i="1"/>
  <c r="BM237" i="1"/>
  <c r="AZ220" i="1"/>
  <c r="BB220" i="1" s="1"/>
  <c r="BC220" i="1" s="1"/>
  <c r="AT220" i="1"/>
  <c r="AU220" i="1"/>
  <c r="AL234" i="1"/>
  <c r="AO233" i="1"/>
  <c r="AP233" i="1" s="1"/>
  <c r="N233" i="1"/>
  <c r="Z233" i="1" s="1"/>
  <c r="AE232" i="1"/>
  <c r="CM232" i="1"/>
  <c r="CN232" i="1" s="1"/>
  <c r="CB232" i="1"/>
  <c r="BX233" i="1" s="1"/>
  <c r="CF232" i="1"/>
  <c r="CJ232" i="1"/>
  <c r="BV232" i="1"/>
  <c r="BR233" i="1" s="1"/>
  <c r="BU233" i="1" s="1"/>
  <c r="H232" i="1"/>
  <c r="U235" i="1"/>
  <c r="T235" i="1"/>
  <c r="BI234" i="1"/>
  <c r="BH234" i="1" s="1"/>
  <c r="BG235" i="1" s="1"/>
  <c r="BJ235" i="1" l="1"/>
  <c r="BO237" i="1"/>
  <c r="BL238" i="1"/>
  <c r="AJ234" i="1"/>
  <c r="AK234" i="1" s="1"/>
  <c r="AG235" i="1"/>
  <c r="AV220" i="1"/>
  <c r="AS221" i="1" s="1"/>
  <c r="AW220" i="1"/>
  <c r="AN234" i="1"/>
  <c r="AM234" i="1"/>
  <c r="BT233" i="1"/>
  <c r="BS233" i="1" s="1"/>
  <c r="CG232" i="1"/>
  <c r="CD233" i="1"/>
  <c r="CE233" i="1"/>
  <c r="BZ233" i="1"/>
  <c r="BY233" i="1"/>
  <c r="E233" i="1"/>
  <c r="F233" i="1" s="1"/>
  <c r="Y233" i="1"/>
  <c r="AA233" i="1" s="1"/>
  <c r="V235" i="1"/>
  <c r="O236" i="1" s="1"/>
  <c r="G235" i="1"/>
  <c r="AI235" i="1" l="1"/>
  <c r="AH235" i="1"/>
  <c r="BN238" i="1"/>
  <c r="BM238" i="1"/>
  <c r="CA233" i="1"/>
  <c r="CB233" i="1" s="1"/>
  <c r="BX234" i="1" s="1"/>
  <c r="AU221" i="1"/>
  <c r="AZ221" i="1"/>
  <c r="BB221" i="1" s="1"/>
  <c r="BC221" i="1" s="1"/>
  <c r="AT221" i="1"/>
  <c r="AL235" i="1"/>
  <c r="AO234" i="1"/>
  <c r="AP234" i="1" s="1"/>
  <c r="N234" i="1"/>
  <c r="Z234" i="1" s="1"/>
  <c r="AE233" i="1"/>
  <c r="CF233" i="1"/>
  <c r="CM233" i="1"/>
  <c r="CN233" i="1" s="1"/>
  <c r="CJ233" i="1"/>
  <c r="BV233" i="1"/>
  <c r="BR234" i="1" s="1"/>
  <c r="BU234" i="1" s="1"/>
  <c r="H233" i="1"/>
  <c r="BI235" i="1"/>
  <c r="BH235" i="1" s="1"/>
  <c r="BG236" i="1" s="1"/>
  <c r="U236" i="1"/>
  <c r="T236" i="1"/>
  <c r="BO238" i="1" l="1"/>
  <c r="BL239" i="1"/>
  <c r="AJ235" i="1"/>
  <c r="AK235" i="1" s="1"/>
  <c r="AG236" i="1"/>
  <c r="BJ236" i="1"/>
  <c r="AW221" i="1"/>
  <c r="AV221" i="1"/>
  <c r="AS222" i="1" s="1"/>
  <c r="AN235" i="1"/>
  <c r="AM235" i="1"/>
  <c r="BT234" i="1"/>
  <c r="BS234" i="1" s="1"/>
  <c r="CG233" i="1"/>
  <c r="CD234" i="1"/>
  <c r="BY234" i="1"/>
  <c r="CE234" i="1"/>
  <c r="BZ234" i="1"/>
  <c r="E234" i="1"/>
  <c r="F234" i="1" s="1"/>
  <c r="Y234" i="1"/>
  <c r="AA234" i="1" s="1"/>
  <c r="V236" i="1"/>
  <c r="O237" i="1" s="1"/>
  <c r="G236" i="1"/>
  <c r="AI236" i="1" l="1"/>
  <c r="AH236" i="1"/>
  <c r="BN239" i="1"/>
  <c r="BM239" i="1"/>
  <c r="CA234" i="1"/>
  <c r="CB234" i="1" s="1"/>
  <c r="BX235" i="1" s="1"/>
  <c r="AZ222" i="1"/>
  <c r="BB222" i="1" s="1"/>
  <c r="BC222" i="1" s="1"/>
  <c r="AT222" i="1"/>
  <c r="AU222" i="1"/>
  <c r="AL236" i="1"/>
  <c r="AO235" i="1"/>
  <c r="AP235" i="1" s="1"/>
  <c r="N235" i="1"/>
  <c r="Z235" i="1" s="1"/>
  <c r="AE234" i="1"/>
  <c r="CF234" i="1"/>
  <c r="CJ234" i="1"/>
  <c r="CM234" i="1"/>
  <c r="CN234" i="1" s="1"/>
  <c r="BV234" i="1"/>
  <c r="BR235" i="1" s="1"/>
  <c r="BU235" i="1" s="1"/>
  <c r="H234" i="1"/>
  <c r="BI236" i="1"/>
  <c r="BH236" i="1" s="1"/>
  <c r="BG237" i="1" s="1"/>
  <c r="U237" i="1"/>
  <c r="T237" i="1"/>
  <c r="BO239" i="1" l="1"/>
  <c r="BL240" i="1"/>
  <c r="AG237" i="1"/>
  <c r="AJ236" i="1"/>
  <c r="AK236" i="1" s="1"/>
  <c r="BJ237" i="1"/>
  <c r="AW222" i="1"/>
  <c r="AV222" i="1"/>
  <c r="AS223" i="1" s="1"/>
  <c r="AM236" i="1"/>
  <c r="AN236" i="1"/>
  <c r="BT235" i="1"/>
  <c r="BS235" i="1" s="1"/>
  <c r="BY235" i="1"/>
  <c r="BZ235" i="1"/>
  <c r="CE235" i="1"/>
  <c r="E235" i="1"/>
  <c r="F235" i="1" s="1"/>
  <c r="CG234" i="1"/>
  <c r="CD235" i="1"/>
  <c r="Y235" i="1"/>
  <c r="AA235" i="1" s="1"/>
  <c r="V237" i="1"/>
  <c r="O238" i="1" s="1"/>
  <c r="G237" i="1"/>
  <c r="AI237" i="1" l="1"/>
  <c r="AH237" i="1"/>
  <c r="BM240" i="1"/>
  <c r="BN240" i="1"/>
  <c r="CA235" i="1"/>
  <c r="CB235" i="1" s="1"/>
  <c r="BX236" i="1" s="1"/>
  <c r="AU223" i="1"/>
  <c r="AZ223" i="1"/>
  <c r="BB223" i="1" s="1"/>
  <c r="BC223" i="1" s="1"/>
  <c r="AT223" i="1"/>
  <c r="AL237" i="1"/>
  <c r="AO236" i="1"/>
  <c r="AP236" i="1" s="1"/>
  <c r="N236" i="1"/>
  <c r="Z236" i="1" s="1"/>
  <c r="AE235" i="1"/>
  <c r="CF235" i="1"/>
  <c r="CJ235" i="1"/>
  <c r="CM235" i="1"/>
  <c r="CN235" i="1" s="1"/>
  <c r="BV235" i="1"/>
  <c r="BR236" i="1" s="1"/>
  <c r="BU236" i="1" s="1"/>
  <c r="H235" i="1"/>
  <c r="BI237" i="1"/>
  <c r="BH237" i="1" s="1"/>
  <c r="BG238" i="1" s="1"/>
  <c r="U238" i="1"/>
  <c r="T238" i="1"/>
  <c r="BO240" i="1" l="1"/>
  <c r="BL241" i="1"/>
  <c r="AG238" i="1"/>
  <c r="AJ237" i="1"/>
  <c r="AK237" i="1" s="1"/>
  <c r="BJ238" i="1"/>
  <c r="AV223" i="1"/>
  <c r="AS224" i="1" s="1"/>
  <c r="AW223" i="1"/>
  <c r="AN237" i="1"/>
  <c r="AM237" i="1"/>
  <c r="BT236" i="1"/>
  <c r="BS236" i="1" s="1"/>
  <c r="CG235" i="1"/>
  <c r="CD236" i="1"/>
  <c r="BZ236" i="1"/>
  <c r="CE236" i="1"/>
  <c r="BY236" i="1"/>
  <c r="E236" i="1"/>
  <c r="F236" i="1" s="1"/>
  <c r="Y236" i="1"/>
  <c r="AA236" i="1" s="1"/>
  <c r="V238" i="1"/>
  <c r="O239" i="1" s="1"/>
  <c r="G238" i="1"/>
  <c r="AH238" i="1" l="1"/>
  <c r="AI238" i="1"/>
  <c r="BM241" i="1"/>
  <c r="BN241" i="1"/>
  <c r="CA236" i="1"/>
  <c r="CB236" i="1" s="1"/>
  <c r="BX237" i="1" s="1"/>
  <c r="BZ237" i="1" s="1"/>
  <c r="AT224" i="1"/>
  <c r="AZ224" i="1"/>
  <c r="BB224" i="1" s="1"/>
  <c r="BC224" i="1" s="1"/>
  <c r="AU224" i="1"/>
  <c r="AL238" i="1"/>
  <c r="AO237" i="1"/>
  <c r="AP237" i="1" s="1"/>
  <c r="N237" i="1"/>
  <c r="Z237" i="1" s="1"/>
  <c r="AE236" i="1"/>
  <c r="CJ236" i="1"/>
  <c r="CM236" i="1"/>
  <c r="CN236" i="1" s="1"/>
  <c r="CF236" i="1"/>
  <c r="BV236" i="1"/>
  <c r="BR237" i="1" s="1"/>
  <c r="BU237" i="1" s="1"/>
  <c r="H236" i="1"/>
  <c r="BI238" i="1"/>
  <c r="BH238" i="1" s="1"/>
  <c r="BG239" i="1" s="1"/>
  <c r="U239" i="1"/>
  <c r="T239" i="1"/>
  <c r="BO241" i="1" l="1"/>
  <c r="BL242" i="1"/>
  <c r="AG239" i="1"/>
  <c r="AJ238" i="1"/>
  <c r="AK238" i="1" s="1"/>
  <c r="BJ239" i="1"/>
  <c r="CE237" i="1"/>
  <c r="BY237" i="1"/>
  <c r="CA237" i="1" s="1"/>
  <c r="AV224" i="1"/>
  <c r="AS225" i="1" s="1"/>
  <c r="AW224" i="1"/>
  <c r="AN238" i="1"/>
  <c r="AM238" i="1"/>
  <c r="BT237" i="1"/>
  <c r="BS237" i="1" s="1"/>
  <c r="CG236" i="1"/>
  <c r="CD237" i="1"/>
  <c r="E237" i="1"/>
  <c r="F237" i="1" s="1"/>
  <c r="Y237" i="1"/>
  <c r="AA237" i="1" s="1"/>
  <c r="V239" i="1"/>
  <c r="O240" i="1" s="1"/>
  <c r="G239" i="1"/>
  <c r="AH239" i="1" l="1"/>
  <c r="AI239" i="1"/>
  <c r="BN242" i="1"/>
  <c r="BM242" i="1"/>
  <c r="AU225" i="1"/>
  <c r="AZ225" i="1"/>
  <c r="BB225" i="1" s="1"/>
  <c r="BC225" i="1" s="1"/>
  <c r="AT225" i="1"/>
  <c r="AL239" i="1"/>
  <c r="AO238" i="1"/>
  <c r="AP238" i="1" s="1"/>
  <c r="AE237" i="1"/>
  <c r="CJ237" i="1"/>
  <c r="CM237" i="1"/>
  <c r="CN237" i="1" s="1"/>
  <c r="CF237" i="1"/>
  <c r="BV237" i="1"/>
  <c r="BR238" i="1" s="1"/>
  <c r="BU238" i="1" s="1"/>
  <c r="H237" i="1"/>
  <c r="N238" i="1"/>
  <c r="Z238" i="1" s="1"/>
  <c r="CB237" i="1"/>
  <c r="BX238" i="1" s="1"/>
  <c r="BI239" i="1"/>
  <c r="BH239" i="1" s="1"/>
  <c r="BG240" i="1" s="1"/>
  <c r="U240" i="1"/>
  <c r="T240" i="1"/>
  <c r="BO242" i="1" l="1"/>
  <c r="BL243" i="1"/>
  <c r="AG240" i="1"/>
  <c r="AJ239" i="1"/>
  <c r="AK239" i="1" s="1"/>
  <c r="BJ240" i="1"/>
  <c r="AW225" i="1"/>
  <c r="AV225" i="1"/>
  <c r="AS226" i="1" s="1"/>
  <c r="AM239" i="1"/>
  <c r="AN239" i="1"/>
  <c r="BT238" i="1"/>
  <c r="BS238" i="1" s="1"/>
  <c r="E238" i="1"/>
  <c r="F238" i="1" s="1"/>
  <c r="CG237" i="1"/>
  <c r="CD238" i="1"/>
  <c r="BY238" i="1"/>
  <c r="BZ238" i="1"/>
  <c r="CE238" i="1"/>
  <c r="Y238" i="1"/>
  <c r="AA238" i="1" s="1"/>
  <c r="V240" i="1"/>
  <c r="O241" i="1" s="1"/>
  <c r="G240" i="1"/>
  <c r="AI240" i="1" l="1"/>
  <c r="AH240" i="1"/>
  <c r="BN243" i="1"/>
  <c r="BM243" i="1"/>
  <c r="AT226" i="1"/>
  <c r="AU226" i="1"/>
  <c r="AZ226" i="1"/>
  <c r="BB226" i="1" s="1"/>
  <c r="BC226" i="1" s="1"/>
  <c r="AL240" i="1"/>
  <c r="AO239" i="1"/>
  <c r="AP239" i="1" s="1"/>
  <c r="N239" i="1"/>
  <c r="Z239" i="1" s="1"/>
  <c r="AE238" i="1"/>
  <c r="CJ238" i="1"/>
  <c r="CM238" i="1"/>
  <c r="CN238" i="1" s="1"/>
  <c r="CF238" i="1"/>
  <c r="BV238" i="1"/>
  <c r="BR239" i="1" s="1"/>
  <c r="BU239" i="1" s="1"/>
  <c r="H238" i="1"/>
  <c r="CA238" i="1"/>
  <c r="CB238" i="1" s="1"/>
  <c r="BX239" i="1" s="1"/>
  <c r="BI240" i="1"/>
  <c r="BH240" i="1" s="1"/>
  <c r="BG241" i="1" s="1"/>
  <c r="U241" i="1"/>
  <c r="T241" i="1"/>
  <c r="BO243" i="1" l="1"/>
  <c r="BL244" i="1"/>
  <c r="AJ240" i="1"/>
  <c r="AK240" i="1" s="1"/>
  <c r="AG241" i="1"/>
  <c r="BJ241" i="1"/>
  <c r="AW226" i="1"/>
  <c r="AV226" i="1"/>
  <c r="AS227" i="1" s="1"/>
  <c r="AN240" i="1"/>
  <c r="AM240" i="1"/>
  <c r="BY239" i="1"/>
  <c r="BZ239" i="1"/>
  <c r="CE239" i="1"/>
  <c r="BT239" i="1"/>
  <c r="BS239" i="1" s="1"/>
  <c r="CG238" i="1"/>
  <c r="CD239" i="1"/>
  <c r="E239" i="1"/>
  <c r="F239" i="1" s="1"/>
  <c r="Y239" i="1"/>
  <c r="AA239" i="1" s="1"/>
  <c r="V241" i="1"/>
  <c r="O242" i="1" s="1"/>
  <c r="G241" i="1"/>
  <c r="AH241" i="1" l="1"/>
  <c r="AI241" i="1"/>
  <c r="BM244" i="1"/>
  <c r="BN244" i="1"/>
  <c r="CA239" i="1"/>
  <c r="CB239" i="1" s="1"/>
  <c r="BX240" i="1" s="1"/>
  <c r="BY240" i="1" s="1"/>
  <c r="AT227" i="1"/>
  <c r="AZ227" i="1"/>
  <c r="BB227" i="1" s="1"/>
  <c r="BC227" i="1" s="1"/>
  <c r="AU227" i="1"/>
  <c r="AL241" i="1"/>
  <c r="AO240" i="1"/>
  <c r="AP240" i="1" s="1"/>
  <c r="N240" i="1"/>
  <c r="Z240" i="1" s="1"/>
  <c r="AE239" i="1"/>
  <c r="CF239" i="1"/>
  <c r="CM239" i="1"/>
  <c r="CN239" i="1" s="1"/>
  <c r="CJ239" i="1"/>
  <c r="BV239" i="1"/>
  <c r="BR240" i="1" s="1"/>
  <c r="BU240" i="1" s="1"/>
  <c r="H239" i="1"/>
  <c r="BI241" i="1"/>
  <c r="BH241" i="1" s="1"/>
  <c r="BG242" i="1" s="1"/>
  <c r="U242" i="1"/>
  <c r="T242" i="1"/>
  <c r="BO244" i="1" l="1"/>
  <c r="BL245" i="1"/>
  <c r="AJ241" i="1"/>
  <c r="AK241" i="1" s="1"/>
  <c r="AG242" i="1"/>
  <c r="BJ242" i="1"/>
  <c r="CE240" i="1"/>
  <c r="BZ240" i="1"/>
  <c r="CA240" i="1" s="1"/>
  <c r="AW227" i="1"/>
  <c r="AV227" i="1"/>
  <c r="AS228" i="1" s="1"/>
  <c r="AM241" i="1"/>
  <c r="AN241" i="1"/>
  <c r="CG239" i="1"/>
  <c r="CD240" i="1"/>
  <c r="BT240" i="1"/>
  <c r="BS240" i="1" s="1"/>
  <c r="Y240" i="1"/>
  <c r="AA240" i="1" s="1"/>
  <c r="E240" i="1"/>
  <c r="F240" i="1" s="1"/>
  <c r="V242" i="1"/>
  <c r="O243" i="1" s="1"/>
  <c r="G242" i="1"/>
  <c r="AH242" i="1" l="1"/>
  <c r="AI242" i="1"/>
  <c r="BM245" i="1"/>
  <c r="BN245" i="1"/>
  <c r="AZ228" i="1"/>
  <c r="BB228" i="1" s="1"/>
  <c r="BC228" i="1" s="1"/>
  <c r="AU228" i="1"/>
  <c r="AT228" i="1"/>
  <c r="AL242" i="1"/>
  <c r="AO241" i="1"/>
  <c r="AP241" i="1" s="1"/>
  <c r="N241" i="1"/>
  <c r="Z241" i="1" s="1"/>
  <c r="AE240" i="1"/>
  <c r="CJ240" i="1"/>
  <c r="CM240" i="1"/>
  <c r="CN240" i="1" s="1"/>
  <c r="CF240" i="1"/>
  <c r="BV240" i="1"/>
  <c r="BR241" i="1" s="1"/>
  <c r="BU241" i="1" s="1"/>
  <c r="H240" i="1"/>
  <c r="CB240" i="1"/>
  <c r="BX241" i="1" s="1"/>
  <c r="BI242" i="1"/>
  <c r="BH242" i="1" s="1"/>
  <c r="BG243" i="1" s="1"/>
  <c r="U243" i="1"/>
  <c r="T243" i="1"/>
  <c r="BO245" i="1" l="1"/>
  <c r="BL246" i="1"/>
  <c r="AG243" i="1"/>
  <c r="AJ242" i="1"/>
  <c r="AK242" i="1" s="1"/>
  <c r="BJ243" i="1"/>
  <c r="AV228" i="1"/>
  <c r="AS229" i="1" s="1"/>
  <c r="AW228" i="1"/>
  <c r="AM242" i="1"/>
  <c r="AN242" i="1"/>
  <c r="CE241" i="1"/>
  <c r="BY241" i="1"/>
  <c r="BZ241" i="1"/>
  <c r="BT241" i="1"/>
  <c r="BS241" i="1" s="1"/>
  <c r="CG240" i="1"/>
  <c r="CD241" i="1"/>
  <c r="E241" i="1"/>
  <c r="F241" i="1" s="1"/>
  <c r="Y241" i="1"/>
  <c r="AA241" i="1" s="1"/>
  <c r="V243" i="1"/>
  <c r="O244" i="1" s="1"/>
  <c r="G243" i="1"/>
  <c r="CA241" i="1" l="1"/>
  <c r="CB241" i="1" s="1"/>
  <c r="BX242" i="1" s="1"/>
  <c r="CE242" i="1" s="1"/>
  <c r="AI243" i="1"/>
  <c r="AH243" i="1"/>
  <c r="BN246" i="1"/>
  <c r="BM246" i="1"/>
  <c r="AU229" i="1"/>
  <c r="AZ229" i="1"/>
  <c r="BB229" i="1" s="1"/>
  <c r="BC229" i="1" s="1"/>
  <c r="AT229" i="1"/>
  <c r="AL243" i="1"/>
  <c r="AO242" i="1"/>
  <c r="AP242" i="1" s="1"/>
  <c r="N242" i="1"/>
  <c r="Z242" i="1" s="1"/>
  <c r="AE241" i="1"/>
  <c r="CM241" i="1"/>
  <c r="CN241" i="1" s="1"/>
  <c r="CF241" i="1"/>
  <c r="CJ241" i="1"/>
  <c r="BV241" i="1"/>
  <c r="BR242" i="1" s="1"/>
  <c r="BU242" i="1" s="1"/>
  <c r="H241" i="1"/>
  <c r="BI243" i="1"/>
  <c r="BH243" i="1" s="1"/>
  <c r="BG244" i="1" s="1"/>
  <c r="U244" i="1"/>
  <c r="T244" i="1"/>
  <c r="BY242" i="1" l="1"/>
  <c r="BZ242" i="1"/>
  <c r="BO246" i="1"/>
  <c r="AJ243" i="1"/>
  <c r="AK243" i="1" s="1"/>
  <c r="AG244" i="1"/>
  <c r="BJ244" i="1"/>
  <c r="AV229" i="1"/>
  <c r="AS230" i="1" s="1"/>
  <c r="AW229" i="1"/>
  <c r="AN243" i="1"/>
  <c r="AM243" i="1"/>
  <c r="BT242" i="1"/>
  <c r="BS242" i="1" s="1"/>
  <c r="CG241" i="1"/>
  <c r="CD242" i="1"/>
  <c r="E242" i="1"/>
  <c r="F242" i="1" s="1"/>
  <c r="Y242" i="1"/>
  <c r="AA242" i="1" s="1"/>
  <c r="G244" i="1"/>
  <c r="V244" i="1"/>
  <c r="O245" i="1" s="1"/>
  <c r="CA242" i="1" l="1"/>
  <c r="CB242" i="1" s="1"/>
  <c r="BX243" i="1" s="1"/>
  <c r="AH244" i="1"/>
  <c r="AI244" i="1"/>
  <c r="AZ230" i="1"/>
  <c r="BB230" i="1" s="1"/>
  <c r="BC230" i="1" s="1"/>
  <c r="AU230" i="1"/>
  <c r="AT230" i="1"/>
  <c r="AL244" i="1"/>
  <c r="AO243" i="1"/>
  <c r="AP243" i="1" s="1"/>
  <c r="N243" i="1"/>
  <c r="Z243" i="1" s="1"/>
  <c r="AE242" i="1"/>
  <c r="CF242" i="1"/>
  <c r="CJ242" i="1"/>
  <c r="CM242" i="1"/>
  <c r="CN242" i="1" s="1"/>
  <c r="BV242" i="1"/>
  <c r="BR243" i="1" s="1"/>
  <c r="BU243" i="1" s="1"/>
  <c r="H242" i="1"/>
  <c r="U245" i="1"/>
  <c r="T245" i="1"/>
  <c r="BI244" i="1"/>
  <c r="BH244" i="1" s="1"/>
  <c r="BG245" i="1" s="1"/>
  <c r="BJ245" i="1" l="1"/>
  <c r="AJ244" i="1"/>
  <c r="AK244" i="1" s="1"/>
  <c r="AG245" i="1"/>
  <c r="AV230" i="1"/>
  <c r="AS231" i="1" s="1"/>
  <c r="AW230" i="1"/>
  <c r="AM244" i="1"/>
  <c r="AN244" i="1"/>
  <c r="BZ243" i="1"/>
  <c r="CE243" i="1"/>
  <c r="BY243" i="1"/>
  <c r="CG242" i="1"/>
  <c r="CD243" i="1"/>
  <c r="E243" i="1"/>
  <c r="F243" i="1" s="1"/>
  <c r="BT243" i="1"/>
  <c r="BS243" i="1" s="1"/>
  <c r="Y243" i="1"/>
  <c r="AA243" i="1" s="1"/>
  <c r="V245" i="1"/>
  <c r="S246" i="1" s="1"/>
  <c r="G245" i="1"/>
  <c r="AI245" i="1" l="1"/>
  <c r="AH245" i="1"/>
  <c r="AU231" i="1"/>
  <c r="AT231" i="1"/>
  <c r="AZ231" i="1"/>
  <c r="BB231" i="1" s="1"/>
  <c r="BC231" i="1" s="1"/>
  <c r="AL245" i="1"/>
  <c r="AO244" i="1"/>
  <c r="AP244" i="1" s="1"/>
  <c r="AE243" i="1"/>
  <c r="CF243" i="1"/>
  <c r="CJ243" i="1"/>
  <c r="CM243" i="1"/>
  <c r="CN243" i="1" s="1"/>
  <c r="H243" i="1"/>
  <c r="BV243" i="1"/>
  <c r="BR244" i="1" s="1"/>
  <c r="BU244" i="1" s="1"/>
  <c r="N244" i="1"/>
  <c r="Z244" i="1" s="1"/>
  <c r="CA243" i="1"/>
  <c r="CB243" i="1" s="1"/>
  <c r="BX244" i="1" s="1"/>
  <c r="BI245" i="1"/>
  <c r="BH245" i="1" s="1"/>
  <c r="BG246" i="1" s="1"/>
  <c r="AJ245" i="1" l="1"/>
  <c r="AK245" i="1" s="1"/>
  <c r="AW231" i="1"/>
  <c r="AV231" i="1"/>
  <c r="AS232" i="1" s="1"/>
  <c r="AM245" i="1"/>
  <c r="AN245" i="1"/>
  <c r="E244" i="1"/>
  <c r="F244" i="1" s="1"/>
  <c r="Y244" i="1"/>
  <c r="AA244" i="1" s="1"/>
  <c r="BT244" i="1"/>
  <c r="BS244" i="1" s="1"/>
  <c r="CG243" i="1"/>
  <c r="CD244" i="1"/>
  <c r="CE244" i="1"/>
  <c r="BZ244" i="1"/>
  <c r="BY244" i="1"/>
  <c r="AU232" i="1" l="1"/>
  <c r="AT232" i="1"/>
  <c r="AZ232" i="1"/>
  <c r="BB232" i="1" s="1"/>
  <c r="BC232" i="1" s="1"/>
  <c r="AO245" i="1"/>
  <c r="AP245" i="1" s="1"/>
  <c r="N245" i="1"/>
  <c r="Z245" i="1" s="1"/>
  <c r="CA244" i="1"/>
  <c r="CB244" i="1" s="1"/>
  <c r="BX245" i="1" s="1"/>
  <c r="AE244" i="1"/>
  <c r="CJ244" i="1"/>
  <c r="CF244" i="1"/>
  <c r="CM244" i="1"/>
  <c r="CN244" i="1" s="1"/>
  <c r="BV244" i="1"/>
  <c r="BR245" i="1" s="1"/>
  <c r="BU245" i="1" s="1"/>
  <c r="H244" i="1"/>
  <c r="AV232" i="1" l="1"/>
  <c r="AS233" i="1" s="1"/>
  <c r="AW232" i="1"/>
  <c r="BT245" i="1"/>
  <c r="BS245" i="1" s="1"/>
  <c r="CG244" i="1"/>
  <c r="CD245" i="1"/>
  <c r="BY245" i="1"/>
  <c r="CE245" i="1"/>
  <c r="BZ245" i="1"/>
  <c r="E245" i="1"/>
  <c r="F245" i="1" s="1"/>
  <c r="Y245" i="1"/>
  <c r="AA245" i="1" s="1"/>
  <c r="CA245" i="1" l="1"/>
  <c r="CB245" i="1" s="1"/>
  <c r="BX246" i="1" s="1"/>
  <c r="BY246" i="1" s="1"/>
  <c r="AU233" i="1"/>
  <c r="AZ233" i="1"/>
  <c r="BB233" i="1" s="1"/>
  <c r="BC233" i="1" s="1"/>
  <c r="AT233" i="1"/>
  <c r="AE245" i="1"/>
  <c r="CM245" i="1"/>
  <c r="CN245" i="1" s="1"/>
  <c r="CJ245" i="1"/>
  <c r="CF245" i="1"/>
  <c r="BV245" i="1"/>
  <c r="BR246" i="1" s="1"/>
  <c r="H245" i="1"/>
  <c r="BZ246" i="1" l="1"/>
  <c r="CA246" i="1" s="1"/>
  <c r="CE246" i="1"/>
  <c r="AW233" i="1"/>
  <c r="AV233" i="1"/>
  <c r="AS234" i="1" s="1"/>
  <c r="CG245" i="1"/>
  <c r="CD246" i="1"/>
  <c r="AT234" i="1" l="1"/>
  <c r="AZ234" i="1"/>
  <c r="BB234" i="1" s="1"/>
  <c r="BC234" i="1" s="1"/>
  <c r="AU234" i="1"/>
  <c r="AV234" i="1" l="1"/>
  <c r="AS235" i="1" s="1"/>
  <c r="AW234" i="1"/>
  <c r="AT235" i="1" l="1"/>
  <c r="AU235" i="1"/>
  <c r="AZ235" i="1"/>
  <c r="BB235" i="1" s="1"/>
  <c r="BC235" i="1" s="1"/>
  <c r="AW235" i="1" l="1"/>
  <c r="AV235" i="1"/>
  <c r="AS236" i="1" s="1"/>
  <c r="AT236" i="1" l="1"/>
  <c r="AZ236" i="1"/>
  <c r="BB236" i="1" s="1"/>
  <c r="BC236" i="1" s="1"/>
  <c r="AU236" i="1"/>
  <c r="AW236" i="1" l="1"/>
  <c r="AV236" i="1"/>
  <c r="AS237" i="1" s="1"/>
  <c r="AU237" i="1" l="1"/>
  <c r="AT237" i="1"/>
  <c r="AZ237" i="1"/>
  <c r="BB237" i="1" s="1"/>
  <c r="BC237" i="1" l="1"/>
  <c r="AW237" i="1"/>
  <c r="AV237" i="1"/>
  <c r="AS238" i="1" s="1"/>
  <c r="AT238" i="1" l="1"/>
  <c r="AU238" i="1"/>
  <c r="AZ238" i="1"/>
  <c r="BB238" i="1" s="1"/>
  <c r="BC238" i="1" l="1"/>
  <c r="AW238" i="1"/>
  <c r="AV238" i="1"/>
  <c r="AS239" i="1" s="1"/>
  <c r="AT239" i="1" l="1"/>
  <c r="AZ239" i="1"/>
  <c r="BB239" i="1" s="1"/>
  <c r="AU239" i="1"/>
  <c r="BC239" i="1" l="1"/>
  <c r="AW239" i="1"/>
  <c r="AV239" i="1"/>
  <c r="AS240" i="1" s="1"/>
  <c r="AZ240" i="1" l="1"/>
  <c r="BB240" i="1" s="1"/>
  <c r="AT240" i="1"/>
  <c r="AU240" i="1"/>
  <c r="BC240" i="1" l="1"/>
  <c r="AV240" i="1"/>
  <c r="AS241" i="1" s="1"/>
  <c r="AW240" i="1"/>
  <c r="AZ241" i="1" l="1"/>
  <c r="BB241" i="1" s="1"/>
  <c r="AT241" i="1"/>
  <c r="AU241" i="1"/>
  <c r="BC241" i="1" l="1"/>
  <c r="AV241" i="1"/>
  <c r="AS242" i="1" s="1"/>
  <c r="AW241" i="1"/>
  <c r="AZ242" i="1" l="1"/>
  <c r="BB242" i="1" s="1"/>
  <c r="BC242" i="1" s="1"/>
  <c r="AT242" i="1"/>
  <c r="AU242" i="1"/>
  <c r="AV242" i="1" l="1"/>
  <c r="AS243" i="1" s="1"/>
  <c r="AW242" i="1"/>
  <c r="AT243" i="1" l="1"/>
  <c r="AU243" i="1"/>
  <c r="AZ243" i="1"/>
  <c r="BB243" i="1" s="1"/>
  <c r="BC243" i="1" s="1"/>
  <c r="AW243" i="1" l="1"/>
  <c r="AV243" i="1"/>
  <c r="AS244" i="1" s="1"/>
  <c r="AZ244" i="1" l="1"/>
  <c r="BB244" i="1" s="1"/>
  <c r="BC244" i="1" s="1"/>
  <c r="AU244" i="1"/>
  <c r="AT244" i="1"/>
  <c r="AW244" i="1" l="1"/>
  <c r="AV244" i="1"/>
  <c r="AS245" i="1" s="1"/>
  <c r="AZ245" i="1" l="1"/>
  <c r="BB245" i="1" s="1"/>
  <c r="BC245" i="1" s="1"/>
  <c r="AT245" i="1"/>
  <c r="AU245" i="1"/>
  <c r="AV245" i="1" l="1"/>
  <c r="AW245" i="1"/>
  <c r="M29" i="10" l="1"/>
  <c r="X257" i="1" l="1"/>
  <c r="X258" i="1" l="1"/>
  <c r="BL247" i="1" l="1"/>
  <c r="BM247" i="1" s="1"/>
  <c r="AL246" i="1"/>
  <c r="AM246" i="1" s="1"/>
  <c r="X246" i="1"/>
  <c r="AY247" i="1" s="1"/>
  <c r="BA247" i="1" s="1"/>
  <c r="O246" i="1"/>
  <c r="T246" i="1" s="1"/>
  <c r="AS246" i="1" l="1"/>
  <c r="AU246" i="1" s="1"/>
  <c r="AW246" i="1" s="1"/>
  <c r="AG246" i="1"/>
  <c r="AH246" i="1" s="1"/>
  <c r="N246" i="1"/>
  <c r="Y246" i="1" s="1"/>
  <c r="U246" i="1"/>
  <c r="BU246" i="1" s="1"/>
  <c r="BT246" i="1" s="1"/>
  <c r="AN246" i="1"/>
  <c r="AL247" i="1" s="1"/>
  <c r="BN247" i="1"/>
  <c r="BO247" i="1" s="1"/>
  <c r="AY248" i="1"/>
  <c r="BA248" i="1" s="1"/>
  <c r="BL248" i="1" l="1"/>
  <c r="BN248" i="1" s="1"/>
  <c r="AT246" i="1"/>
  <c r="AZ246" i="1"/>
  <c r="AI246" i="1"/>
  <c r="AJ246" i="1" s="1"/>
  <c r="Z246" i="1"/>
  <c r="AA246" i="1" s="1"/>
  <c r="AO246" i="1"/>
  <c r="BS246" i="1"/>
  <c r="BJ246" i="1"/>
  <c r="BI246" i="1" s="1"/>
  <c r="BH246" i="1" s="1"/>
  <c r="G246" i="1"/>
  <c r="V246" i="1"/>
  <c r="O247" i="1" s="1"/>
  <c r="AN247" i="1"/>
  <c r="AM247" i="1"/>
  <c r="AY249" i="1"/>
  <c r="BA249" i="1" s="1"/>
  <c r="AV246" i="1"/>
  <c r="BB246" i="1"/>
  <c r="AG247" i="1" l="1"/>
  <c r="AI247" i="1" s="1"/>
  <c r="BM248" i="1"/>
  <c r="E246" i="1"/>
  <c r="F246" i="1" s="1"/>
  <c r="T247" i="1"/>
  <c r="U247" i="1"/>
  <c r="AS247" i="1"/>
  <c r="AO247" i="1"/>
  <c r="AL248" i="1"/>
  <c r="BO248" i="1"/>
  <c r="BL249" i="1"/>
  <c r="BC246" i="1"/>
  <c r="BG247" i="1"/>
  <c r="AE246" i="1"/>
  <c r="AY250" i="1"/>
  <c r="BA250" i="1" s="1"/>
  <c r="AY251" i="1" s="1"/>
  <c r="BA251" i="1" s="1"/>
  <c r="AK246" i="1"/>
  <c r="N247" i="1"/>
  <c r="AH247" i="1" l="1"/>
  <c r="BM249" i="1"/>
  <c r="BN249" i="1"/>
  <c r="AN248" i="1"/>
  <c r="AM248" i="1"/>
  <c r="AZ247" i="1"/>
  <c r="AT247" i="1"/>
  <c r="AU247" i="1"/>
  <c r="AY252" i="1"/>
  <c r="BA252" i="1" s="1"/>
  <c r="AY253" i="1" s="1"/>
  <c r="BA253" i="1" s="1"/>
  <c r="Y247" i="1"/>
  <c r="Z247" i="1"/>
  <c r="AP246" i="1"/>
  <c r="AJ247" i="1"/>
  <c r="AG248" i="1"/>
  <c r="V247" i="1"/>
  <c r="G247" i="1"/>
  <c r="BJ247" i="1"/>
  <c r="CJ246" i="1"/>
  <c r="CF246" i="1"/>
  <c r="BV246" i="1"/>
  <c r="BR247" i="1" s="1"/>
  <c r="BU247" i="1" s="1"/>
  <c r="CB246" i="1"/>
  <c r="BX247" i="1" s="1"/>
  <c r="CM246" i="1"/>
  <c r="CN246" i="1" s="1"/>
  <c r="H246" i="1"/>
  <c r="AO248" i="1" l="1"/>
  <c r="AL249" i="1"/>
  <c r="E247" i="1"/>
  <c r="AA247" i="1"/>
  <c r="AY254" i="1"/>
  <c r="BA254" i="1" s="1"/>
  <c r="AI248" i="1"/>
  <c r="AH248" i="1"/>
  <c r="BO249" i="1"/>
  <c r="BL250" i="1"/>
  <c r="BI247" i="1"/>
  <c r="BH247" i="1" s="1"/>
  <c r="CD247" i="1"/>
  <c r="CG246" i="1"/>
  <c r="CE247" i="1"/>
  <c r="BY247" i="1"/>
  <c r="BZ247" i="1"/>
  <c r="O248" i="1"/>
  <c r="AW247" i="1"/>
  <c r="AV247" i="1"/>
  <c r="BT247" i="1"/>
  <c r="BS247" i="1" s="1"/>
  <c r="AK247" i="1"/>
  <c r="BB247" i="1"/>
  <c r="BM250" i="1" l="1"/>
  <c r="BN250" i="1"/>
  <c r="F247" i="1"/>
  <c r="AE247" i="1"/>
  <c r="BG248" i="1"/>
  <c r="AS248" i="1"/>
  <c r="BC247" i="1"/>
  <c r="CA247" i="1"/>
  <c r="AJ248" i="1"/>
  <c r="AG249" i="1"/>
  <c r="AP247" i="1"/>
  <c r="AY255" i="1"/>
  <c r="BA255" i="1" s="1"/>
  <c r="AM249" i="1"/>
  <c r="AN249" i="1"/>
  <c r="U248" i="1"/>
  <c r="T248" i="1"/>
  <c r="N248" i="1"/>
  <c r="V248" i="1" l="1"/>
  <c r="BJ248" i="1"/>
  <c r="G248" i="1"/>
  <c r="AT248" i="1"/>
  <c r="AU248" i="1"/>
  <c r="AZ248" i="1"/>
  <c r="AO249" i="1"/>
  <c r="AL250" i="1"/>
  <c r="AY256" i="1"/>
  <c r="BA256" i="1" s="1"/>
  <c r="AH249" i="1"/>
  <c r="AI249" i="1"/>
  <c r="BV247" i="1"/>
  <c r="BR248" i="1" s="1"/>
  <c r="BU248" i="1" s="1"/>
  <c r="CB247" i="1"/>
  <c r="BX248" i="1" s="1"/>
  <c r="CM247" i="1"/>
  <c r="CN247" i="1" s="1"/>
  <c r="CJ247" i="1"/>
  <c r="CF247" i="1"/>
  <c r="H247" i="1"/>
  <c r="Z248" i="1"/>
  <c r="Y248" i="1"/>
  <c r="BO250" i="1"/>
  <c r="BL251" i="1"/>
  <c r="AK248" i="1"/>
  <c r="AY257" i="1" l="1"/>
  <c r="BA257" i="1" s="1"/>
  <c r="AA248" i="1"/>
  <c r="E248" i="1"/>
  <c r="AM250" i="1"/>
  <c r="AN250" i="1"/>
  <c r="BB248" i="1"/>
  <c r="AV248" i="1"/>
  <c r="AW248" i="1"/>
  <c r="CG247" i="1"/>
  <c r="CD248" i="1"/>
  <c r="BI248" i="1"/>
  <c r="BH248" i="1" s="1"/>
  <c r="CE248" i="1"/>
  <c r="BY248" i="1"/>
  <c r="BZ248" i="1"/>
  <c r="BT248" i="1"/>
  <c r="BS248" i="1" s="1"/>
  <c r="O249" i="1"/>
  <c r="AJ249" i="1"/>
  <c r="AG250" i="1"/>
  <c r="AP248" i="1"/>
  <c r="BM251" i="1"/>
  <c r="BN251" i="1"/>
  <c r="AI250" i="1" l="1"/>
  <c r="AH250" i="1"/>
  <c r="AS249" i="1"/>
  <c r="BG249" i="1"/>
  <c r="BC248" i="1"/>
  <c r="BO251" i="1"/>
  <c r="BL252" i="1"/>
  <c r="AO250" i="1"/>
  <c r="AL251" i="1"/>
  <c r="AK249" i="1"/>
  <c r="AE248" i="1"/>
  <c r="F248" i="1"/>
  <c r="U249" i="1"/>
  <c r="T249" i="1"/>
  <c r="CA248" i="1"/>
  <c r="N249" i="1"/>
  <c r="AY258" i="1"/>
  <c r="BA258" i="1" s="1"/>
  <c r="AP249" i="1" l="1"/>
  <c r="BN252" i="1"/>
  <c r="BM252" i="1"/>
  <c r="Z249" i="1"/>
  <c r="Y249" i="1"/>
  <c r="AY259" i="1"/>
  <c r="BA259" i="1" s="1"/>
  <c r="AU249" i="1"/>
  <c r="AT249" i="1"/>
  <c r="AZ249" i="1"/>
  <c r="BJ249" i="1"/>
  <c r="V249" i="1"/>
  <c r="G249" i="1"/>
  <c r="CB248" i="1"/>
  <c r="BX249" i="1" s="1"/>
  <c r="CF248" i="1"/>
  <c r="BV248" i="1"/>
  <c r="BR249" i="1" s="1"/>
  <c r="BU249" i="1" s="1"/>
  <c r="CM248" i="1"/>
  <c r="CN248" i="1" s="1"/>
  <c r="CJ248" i="1"/>
  <c r="H248" i="1"/>
  <c r="AM251" i="1"/>
  <c r="AN251" i="1"/>
  <c r="AJ250" i="1"/>
  <c r="AG251" i="1"/>
  <c r="BB249" i="1" l="1"/>
  <c r="AV249" i="1"/>
  <c r="AW249" i="1"/>
  <c r="AY260" i="1"/>
  <c r="BA260" i="1" s="1"/>
  <c r="CE249" i="1"/>
  <c r="BY249" i="1"/>
  <c r="BZ249" i="1"/>
  <c r="AK250" i="1"/>
  <c r="E249" i="1"/>
  <c r="AA249" i="1"/>
  <c r="AH251" i="1"/>
  <c r="AI251" i="1"/>
  <c r="CG248" i="1"/>
  <c r="CD249" i="1"/>
  <c r="AO251" i="1"/>
  <c r="AL252" i="1"/>
  <c r="BT249" i="1"/>
  <c r="BS249" i="1" s="1"/>
  <c r="BO252" i="1"/>
  <c r="BL253" i="1"/>
  <c r="O250" i="1"/>
  <c r="BI249" i="1"/>
  <c r="BH249" i="1" s="1"/>
  <c r="CA249" i="1" l="1"/>
  <c r="AY261" i="1"/>
  <c r="BA261" i="1" s="1"/>
  <c r="BG250" i="1"/>
  <c r="BN253" i="1"/>
  <c r="BM253" i="1"/>
  <c r="AJ251" i="1"/>
  <c r="AK251" i="1" s="1"/>
  <c r="AP251" i="1" s="1"/>
  <c r="AG252" i="1"/>
  <c r="AS250" i="1"/>
  <c r="N250" i="1"/>
  <c r="F249" i="1"/>
  <c r="AE249" i="1"/>
  <c r="T250" i="1"/>
  <c r="U250" i="1"/>
  <c r="AN252" i="1"/>
  <c r="AM252" i="1"/>
  <c r="AP250" i="1"/>
  <c r="BC249" i="1"/>
  <c r="AY262" i="1" l="1"/>
  <c r="BA262" i="1" s="1"/>
  <c r="BO253" i="1"/>
  <c r="BL254" i="1"/>
  <c r="AO252" i="1"/>
  <c r="AL253" i="1"/>
  <c r="CB249" i="1"/>
  <c r="BX250" i="1" s="1"/>
  <c r="CF249" i="1"/>
  <c r="CM249" i="1"/>
  <c r="CN249" i="1" s="1"/>
  <c r="CJ249" i="1"/>
  <c r="BV249" i="1"/>
  <c r="BR250" i="1" s="1"/>
  <c r="BU250" i="1" s="1"/>
  <c r="H249" i="1"/>
  <c r="Y250" i="1"/>
  <c r="Z250" i="1"/>
  <c r="AU250" i="1"/>
  <c r="AT250" i="1"/>
  <c r="AZ250" i="1"/>
  <c r="AH252" i="1"/>
  <c r="AI252" i="1"/>
  <c r="BJ250" i="1"/>
  <c r="V250" i="1"/>
  <c r="G250" i="1"/>
  <c r="AW250" i="1" l="1"/>
  <c r="AV250" i="1"/>
  <c r="O251" i="1"/>
  <c r="BT250" i="1"/>
  <c r="BS250" i="1" s="1"/>
  <c r="BI250" i="1"/>
  <c r="BH250" i="1" s="1"/>
  <c r="CG249" i="1"/>
  <c r="CD250" i="1"/>
  <c r="BZ250" i="1"/>
  <c r="CE250" i="1"/>
  <c r="BY250" i="1"/>
  <c r="AN253" i="1"/>
  <c r="AM253" i="1"/>
  <c r="AJ252" i="1"/>
  <c r="AK252" i="1" s="1"/>
  <c r="AP252" i="1" s="1"/>
  <c r="AG253" i="1"/>
  <c r="BB250" i="1"/>
  <c r="BM254" i="1"/>
  <c r="BN254" i="1"/>
  <c r="AA250" i="1"/>
  <c r="E250" i="1"/>
  <c r="AY263" i="1"/>
  <c r="BA263" i="1" s="1"/>
  <c r="F250" i="1" l="1"/>
  <c r="AE250" i="1"/>
  <c r="N251" i="1"/>
  <c r="T251" i="1"/>
  <c r="U251" i="1"/>
  <c r="BC250" i="1"/>
  <c r="BG251" i="1"/>
  <c r="AI253" i="1"/>
  <c r="AH253" i="1"/>
  <c r="AS251" i="1"/>
  <c r="CA250" i="1"/>
  <c r="BO254" i="1"/>
  <c r="BL255" i="1"/>
  <c r="AY264" i="1"/>
  <c r="BA264" i="1" s="1"/>
  <c r="AO253" i="1"/>
  <c r="AL254" i="1"/>
  <c r="BM255" i="1" l="1"/>
  <c r="BN255" i="1"/>
  <c r="AY265" i="1"/>
  <c r="BA265" i="1" s="1"/>
  <c r="AJ253" i="1"/>
  <c r="AK253" i="1" s="1"/>
  <c r="AP253" i="1" s="1"/>
  <c r="AG254" i="1"/>
  <c r="V251" i="1"/>
  <c r="O252" i="1" s="1"/>
  <c r="G251" i="1"/>
  <c r="BJ251" i="1"/>
  <c r="AN254" i="1"/>
  <c r="AM254" i="1"/>
  <c r="CF250" i="1"/>
  <c r="CB250" i="1"/>
  <c r="BX251" i="1" s="1"/>
  <c r="CM250" i="1"/>
  <c r="CN250" i="1" s="1"/>
  <c r="BV250" i="1"/>
  <c r="BR251" i="1" s="1"/>
  <c r="BU251" i="1" s="1"/>
  <c r="CJ250" i="1"/>
  <c r="H250" i="1"/>
  <c r="AT251" i="1"/>
  <c r="AU251" i="1"/>
  <c r="AZ251" i="1"/>
  <c r="BB251" i="1" s="1"/>
  <c r="BC251" i="1" s="1"/>
  <c r="Y251" i="1"/>
  <c r="Z251" i="1"/>
  <c r="AW251" i="1" l="1"/>
  <c r="AV251" i="1"/>
  <c r="AS252" i="1" s="1"/>
  <c r="AA251" i="1"/>
  <c r="N252" i="1" s="1"/>
  <c r="E251" i="1"/>
  <c r="AO254" i="1"/>
  <c r="AL255" i="1"/>
  <c r="BI251" i="1"/>
  <c r="BH251" i="1" s="1"/>
  <c r="BG252" i="1" s="1"/>
  <c r="BT251" i="1"/>
  <c r="BS251" i="1" s="1"/>
  <c r="AI254" i="1"/>
  <c r="AH254" i="1"/>
  <c r="U252" i="1"/>
  <c r="T252" i="1"/>
  <c r="AY266" i="1"/>
  <c r="BA266" i="1" s="1"/>
  <c r="BY251" i="1"/>
  <c r="CE251" i="1"/>
  <c r="BZ251" i="1"/>
  <c r="BO255" i="1"/>
  <c r="BL256" i="1"/>
  <c r="CG250" i="1"/>
  <c r="CD251" i="1"/>
  <c r="AJ254" i="1" l="1"/>
  <c r="AK254" i="1" s="1"/>
  <c r="AP254" i="1" s="1"/>
  <c r="AG255" i="1"/>
  <c r="CA251" i="1"/>
  <c r="BN256" i="1"/>
  <c r="BM256" i="1"/>
  <c r="AN255" i="1"/>
  <c r="AM255" i="1"/>
  <c r="AY267" i="1"/>
  <c r="BA267" i="1" s="1"/>
  <c r="AE251" i="1"/>
  <c r="F251" i="1"/>
  <c r="Z252" i="1"/>
  <c r="Y252" i="1"/>
  <c r="AT252" i="1"/>
  <c r="AU252" i="1"/>
  <c r="AZ252" i="1"/>
  <c r="BB252" i="1" s="1"/>
  <c r="BC252" i="1" s="1"/>
  <c r="BJ252" i="1"/>
  <c r="G252" i="1"/>
  <c r="V252" i="1"/>
  <c r="O253" i="1" s="1"/>
  <c r="AO255" i="1" l="1"/>
  <c r="AL256" i="1"/>
  <c r="BI252" i="1"/>
  <c r="BH252" i="1" s="1"/>
  <c r="BG253" i="1" s="1"/>
  <c r="AV252" i="1"/>
  <c r="AS253" i="1" s="1"/>
  <c r="AW252" i="1"/>
  <c r="AA252" i="1"/>
  <c r="N253" i="1" s="1"/>
  <c r="E252" i="1"/>
  <c r="CF251" i="1"/>
  <c r="CM251" i="1"/>
  <c r="CN251" i="1" s="1"/>
  <c r="CB251" i="1"/>
  <c r="BX252" i="1" s="1"/>
  <c r="CJ251" i="1"/>
  <c r="BV251" i="1"/>
  <c r="BR252" i="1" s="1"/>
  <c r="BU252" i="1" s="1"/>
  <c r="BT252" i="1" s="1"/>
  <c r="H251" i="1"/>
  <c r="AY268" i="1"/>
  <c r="BA268" i="1" s="1"/>
  <c r="AI255" i="1"/>
  <c r="AH255" i="1"/>
  <c r="U253" i="1"/>
  <c r="T253" i="1"/>
  <c r="BO256" i="1"/>
  <c r="BL257" i="1"/>
  <c r="BS252" i="1" l="1"/>
  <c r="CG251" i="1"/>
  <c r="CD252" i="1"/>
  <c r="AE252" i="1"/>
  <c r="F252" i="1"/>
  <c r="Z253" i="1"/>
  <c r="Y253" i="1"/>
  <c r="BJ253" i="1"/>
  <c r="G253" i="1"/>
  <c r="V253" i="1"/>
  <c r="O254" i="1" s="1"/>
  <c r="AJ255" i="1"/>
  <c r="AK255" i="1" s="1"/>
  <c r="AP255" i="1" s="1"/>
  <c r="AG256" i="1"/>
  <c r="AY269" i="1"/>
  <c r="BA269" i="1" s="1"/>
  <c r="AT253" i="1"/>
  <c r="AU253" i="1"/>
  <c r="AZ253" i="1"/>
  <c r="BB253" i="1" s="1"/>
  <c r="BC253" i="1" s="1"/>
  <c r="AN256" i="1"/>
  <c r="AM256" i="1"/>
  <c r="BY252" i="1"/>
  <c r="BZ252" i="1"/>
  <c r="CE252" i="1"/>
  <c r="BN257" i="1"/>
  <c r="BM257" i="1"/>
  <c r="AH256" i="1" l="1"/>
  <c r="AI256" i="1"/>
  <c r="T254" i="1"/>
  <c r="U254" i="1"/>
  <c r="BO257" i="1"/>
  <c r="BL258" i="1"/>
  <c r="CA252" i="1"/>
  <c r="CB252" i="1" s="1"/>
  <c r="BX253" i="1" s="1"/>
  <c r="AO256" i="1"/>
  <c r="AL257" i="1"/>
  <c r="BI253" i="1"/>
  <c r="BH253" i="1" s="1"/>
  <c r="BG254" i="1" s="1"/>
  <c r="AW253" i="1"/>
  <c r="AV253" i="1"/>
  <c r="AS254" i="1" s="1"/>
  <c r="E253" i="1"/>
  <c r="AA253" i="1"/>
  <c r="N254" i="1" s="1"/>
  <c r="BV252" i="1"/>
  <c r="BR253" i="1" s="1"/>
  <c r="BU253" i="1" s="1"/>
  <c r="BT253" i="1" s="1"/>
  <c r="CF252" i="1"/>
  <c r="CG252" i="1" s="1"/>
  <c r="CJ252" i="1"/>
  <c r="CM252" i="1"/>
  <c r="CN252" i="1" s="1"/>
  <c r="H252" i="1"/>
  <c r="AY270" i="1"/>
  <c r="BA270" i="1" s="1"/>
  <c r="AY271" i="1" s="1"/>
  <c r="BA271" i="1" s="1"/>
  <c r="CD253" i="1" l="1"/>
  <c r="AY272" i="1"/>
  <c r="BA272" i="1" s="1"/>
  <c r="BS253" i="1"/>
  <c r="AM257" i="1"/>
  <c r="AN257" i="1"/>
  <c r="Y254" i="1"/>
  <c r="Z254" i="1"/>
  <c r="BZ253" i="1"/>
  <c r="CE253" i="1"/>
  <c r="BY253" i="1"/>
  <c r="AE253" i="1"/>
  <c r="F253" i="1"/>
  <c r="BM258" i="1"/>
  <c r="BN258" i="1"/>
  <c r="AU254" i="1"/>
  <c r="AT254" i="1"/>
  <c r="AZ254" i="1"/>
  <c r="BB254" i="1" s="1"/>
  <c r="BC254" i="1" s="1"/>
  <c r="V254" i="1"/>
  <c r="O255" i="1" s="1"/>
  <c r="BJ254" i="1"/>
  <c r="G254" i="1"/>
  <c r="AJ256" i="1"/>
  <c r="AK256" i="1" s="1"/>
  <c r="AP256" i="1" s="1"/>
  <c r="AG257" i="1"/>
  <c r="AY273" i="1" l="1"/>
  <c r="BA273" i="1" s="1"/>
  <c r="AY274" i="1" s="1"/>
  <c r="BA274" i="1" s="1"/>
  <c r="AY275" i="1" s="1"/>
  <c r="BA275" i="1" s="1"/>
  <c r="BO258" i="1"/>
  <c r="BL259" i="1"/>
  <c r="CF253" i="1"/>
  <c r="CG253" i="1" s="1"/>
  <c r="CM253" i="1"/>
  <c r="CN253" i="1" s="1"/>
  <c r="CJ253" i="1"/>
  <c r="BV253" i="1"/>
  <c r="BR254" i="1" s="1"/>
  <c r="BU254" i="1" s="1"/>
  <c r="BT254" i="1" s="1"/>
  <c r="H253" i="1"/>
  <c r="AW254" i="1"/>
  <c r="AV254" i="1"/>
  <c r="AS255" i="1" s="1"/>
  <c r="CA253" i="1"/>
  <c r="CB253" i="1" s="1"/>
  <c r="BX254" i="1" s="1"/>
  <c r="AA254" i="1"/>
  <c r="N255" i="1" s="1"/>
  <c r="E254" i="1"/>
  <c r="T255" i="1"/>
  <c r="U255" i="1"/>
  <c r="CD254" i="1"/>
  <c r="AO257" i="1"/>
  <c r="AL258" i="1"/>
  <c r="AH257" i="1"/>
  <c r="AI257" i="1"/>
  <c r="BI254" i="1"/>
  <c r="BH254" i="1" s="1"/>
  <c r="BG255" i="1" s="1"/>
  <c r="BA2" i="1" l="1"/>
  <c r="BS254" i="1"/>
  <c r="BY254" i="1"/>
  <c r="BZ254" i="1"/>
  <c r="CE254" i="1"/>
  <c r="Y255" i="1"/>
  <c r="Z255" i="1"/>
  <c r="AJ257" i="1"/>
  <c r="AK257" i="1" s="1"/>
  <c r="AP257" i="1" s="1"/>
  <c r="AG258" i="1"/>
  <c r="AM258" i="1"/>
  <c r="AN258" i="1"/>
  <c r="AU255" i="1"/>
  <c r="AT255" i="1"/>
  <c r="AZ255" i="1"/>
  <c r="BB255" i="1" s="1"/>
  <c r="BC255" i="1" s="1"/>
  <c r="G255" i="1"/>
  <c r="V255" i="1"/>
  <c r="O256" i="1" s="1"/>
  <c r="BJ255" i="1"/>
  <c r="AE254" i="1"/>
  <c r="F254" i="1"/>
  <c r="BM259" i="1"/>
  <c r="BN259" i="1"/>
  <c r="BO259" i="1" l="1"/>
  <c r="BL260" i="1"/>
  <c r="AH258" i="1"/>
  <c r="AI258" i="1"/>
  <c r="CF254" i="1"/>
  <c r="CG254" i="1" s="1"/>
  <c r="CM254" i="1"/>
  <c r="CN254" i="1" s="1"/>
  <c r="BV254" i="1"/>
  <c r="BR255" i="1" s="1"/>
  <c r="BU255" i="1" s="1"/>
  <c r="CJ254" i="1"/>
  <c r="H254" i="1"/>
  <c r="E255" i="1"/>
  <c r="AA255" i="1"/>
  <c r="N256" i="1" s="1"/>
  <c r="T256" i="1"/>
  <c r="U256" i="1"/>
  <c r="AW255" i="1"/>
  <c r="AV255" i="1"/>
  <c r="AS256" i="1" s="1"/>
  <c r="AO258" i="1"/>
  <c r="AL259" i="1"/>
  <c r="BI255" i="1"/>
  <c r="BH255" i="1" s="1"/>
  <c r="BG256" i="1" s="1"/>
  <c r="CA254" i="1"/>
  <c r="CB254" i="1" s="1"/>
  <c r="BX255" i="1" s="1"/>
  <c r="CD255" i="1" l="1"/>
  <c r="BT255" i="1"/>
  <c r="BS255" i="1" s="1"/>
  <c r="Y256" i="1"/>
  <c r="Z256" i="1"/>
  <c r="AE255" i="1"/>
  <c r="F255" i="1"/>
  <c r="BZ255" i="1"/>
  <c r="BY255" i="1"/>
  <c r="CE255" i="1"/>
  <c r="AZ256" i="1"/>
  <c r="BB256" i="1" s="1"/>
  <c r="BC256" i="1" s="1"/>
  <c r="AT256" i="1"/>
  <c r="AU256" i="1"/>
  <c r="AM259" i="1"/>
  <c r="AN259" i="1"/>
  <c r="AJ258" i="1"/>
  <c r="AK258" i="1" s="1"/>
  <c r="AP258" i="1" s="1"/>
  <c r="AG259" i="1"/>
  <c r="BN260" i="1"/>
  <c r="BM260" i="1"/>
  <c r="BJ256" i="1"/>
  <c r="G256" i="1"/>
  <c r="V256" i="1"/>
  <c r="O257" i="1" s="1"/>
  <c r="AV256" i="1" l="1"/>
  <c r="AS257" i="1" s="1"/>
  <c r="AW256" i="1"/>
  <c r="T257" i="1"/>
  <c r="U257" i="1"/>
  <c r="CA255" i="1"/>
  <c r="CF255" i="1"/>
  <c r="CG255" i="1" s="1"/>
  <c r="CM255" i="1"/>
  <c r="CN255" i="1" s="1"/>
  <c r="CJ255" i="1"/>
  <c r="CB255" i="1"/>
  <c r="BX256" i="1" s="1"/>
  <c r="BV255" i="1"/>
  <c r="BR256" i="1" s="1"/>
  <c r="BU256" i="1" s="1"/>
  <c r="BT256" i="1" s="1"/>
  <c r="H255" i="1"/>
  <c r="BI256" i="1"/>
  <c r="BH256" i="1" s="1"/>
  <c r="BG257" i="1" s="1"/>
  <c r="BO260" i="1"/>
  <c r="BL261" i="1"/>
  <c r="AA256" i="1"/>
  <c r="N257" i="1" s="1"/>
  <c r="E256" i="1"/>
  <c r="AH259" i="1"/>
  <c r="AI259" i="1"/>
  <c r="AO259" i="1"/>
  <c r="AL260" i="1"/>
  <c r="CD256" i="1" l="1"/>
  <c r="BS256" i="1"/>
  <c r="AJ259" i="1"/>
  <c r="AK259" i="1" s="1"/>
  <c r="AP259" i="1" s="1"/>
  <c r="AG260" i="1"/>
  <c r="AN260" i="1"/>
  <c r="AM260" i="1"/>
  <c r="AE256" i="1"/>
  <c r="F256" i="1"/>
  <c r="Z257" i="1"/>
  <c r="Y257" i="1"/>
  <c r="BN261" i="1"/>
  <c r="BM261" i="1"/>
  <c r="BZ256" i="1"/>
  <c r="CE256" i="1"/>
  <c r="BY256" i="1"/>
  <c r="V257" i="1"/>
  <c r="O258" i="1" s="1"/>
  <c r="BJ257" i="1"/>
  <c r="G257" i="1"/>
  <c r="AU257" i="1"/>
  <c r="AT257" i="1"/>
  <c r="AZ257" i="1"/>
  <c r="BB257" i="1" s="1"/>
  <c r="BC257" i="1" s="1"/>
  <c r="CA256" i="1" l="1"/>
  <c r="CB256" i="1" s="1"/>
  <c r="BX257" i="1" s="1"/>
  <c r="BO261" i="1"/>
  <c r="BL262" i="1"/>
  <c r="CM256" i="1"/>
  <c r="CN256" i="1" s="1"/>
  <c r="CF256" i="1"/>
  <c r="CG256" i="1" s="1"/>
  <c r="BV256" i="1"/>
  <c r="BR257" i="1" s="1"/>
  <c r="BU257" i="1" s="1"/>
  <c r="CJ256" i="1"/>
  <c r="H256" i="1"/>
  <c r="AW257" i="1"/>
  <c r="AV257" i="1"/>
  <c r="AS258" i="1" s="1"/>
  <c r="AA257" i="1"/>
  <c r="N258" i="1" s="1"/>
  <c r="E257" i="1"/>
  <c r="BI257" i="1"/>
  <c r="BH257" i="1" s="1"/>
  <c r="BG258" i="1" s="1"/>
  <c r="U258" i="1"/>
  <c r="T258" i="1"/>
  <c r="AO260" i="1"/>
  <c r="AL261" i="1"/>
  <c r="AI260" i="1"/>
  <c r="AH260" i="1"/>
  <c r="CD257" i="1" l="1"/>
  <c r="BT257" i="1"/>
  <c r="BS257" i="1" s="1"/>
  <c r="AT258" i="1"/>
  <c r="AU258" i="1"/>
  <c r="AZ258" i="1"/>
  <c r="BB258" i="1" s="1"/>
  <c r="BC258" i="1" s="1"/>
  <c r="AJ260" i="1"/>
  <c r="AK260" i="1" s="1"/>
  <c r="AP260" i="1" s="1"/>
  <c r="AG261" i="1"/>
  <c r="G258" i="1"/>
  <c r="BJ258" i="1"/>
  <c r="V258" i="1"/>
  <c r="O259" i="1" s="1"/>
  <c r="AM261" i="1"/>
  <c r="AN261" i="1"/>
  <c r="BN262" i="1"/>
  <c r="BM262" i="1"/>
  <c r="AE257" i="1"/>
  <c r="F257" i="1"/>
  <c r="BZ257" i="1"/>
  <c r="CE257" i="1"/>
  <c r="BY257" i="1"/>
  <c r="Z258" i="1"/>
  <c r="Y258" i="1"/>
  <c r="BO262" i="1" l="1"/>
  <c r="BL263" i="1"/>
  <c r="AO261" i="1"/>
  <c r="AL262" i="1"/>
  <c r="T259" i="1"/>
  <c r="U259" i="1"/>
  <c r="AH261" i="1"/>
  <c r="AI261" i="1"/>
  <c r="AA258" i="1"/>
  <c r="N259" i="1" s="1"/>
  <c r="E258" i="1"/>
  <c r="BI258" i="1"/>
  <c r="BH258" i="1" s="1"/>
  <c r="BG259" i="1" s="1"/>
  <c r="CA257" i="1"/>
  <c r="CB257" i="1" s="1"/>
  <c r="BX258" i="1" s="1"/>
  <c r="CF257" i="1"/>
  <c r="CG257" i="1" s="1"/>
  <c r="CM257" i="1"/>
  <c r="CN257" i="1" s="1"/>
  <c r="CJ257" i="1"/>
  <c r="BV257" i="1"/>
  <c r="BR258" i="1" s="1"/>
  <c r="BU258" i="1" s="1"/>
  <c r="H257" i="1"/>
  <c r="AW258" i="1"/>
  <c r="AV258" i="1"/>
  <c r="AS259" i="1" s="1"/>
  <c r="CD258" i="1" l="1"/>
  <c r="BT258" i="1"/>
  <c r="BS258" i="1" s="1"/>
  <c r="Y259" i="1"/>
  <c r="Z259" i="1"/>
  <c r="AU259" i="1"/>
  <c r="AZ259" i="1"/>
  <c r="BB259" i="1" s="1"/>
  <c r="BC259" i="1" s="1"/>
  <c r="AT259" i="1"/>
  <c r="AJ261" i="1"/>
  <c r="AK261" i="1" s="1"/>
  <c r="AP261" i="1" s="1"/>
  <c r="AG262" i="1"/>
  <c r="AE258" i="1"/>
  <c r="F258" i="1"/>
  <c r="BZ258" i="1"/>
  <c r="CE258" i="1"/>
  <c r="BY258" i="1"/>
  <c r="AN262" i="1"/>
  <c r="AM262" i="1"/>
  <c r="BJ259" i="1"/>
  <c r="G259" i="1"/>
  <c r="V259" i="1"/>
  <c r="O260" i="1" s="1"/>
  <c r="BN263" i="1"/>
  <c r="BM263" i="1"/>
  <c r="CA258" i="1" l="1"/>
  <c r="CB258" i="1" s="1"/>
  <c r="BX259" i="1" s="1"/>
  <c r="CM258" i="1"/>
  <c r="CN258" i="1" s="1"/>
  <c r="CF258" i="1"/>
  <c r="CG258" i="1" s="1"/>
  <c r="CJ258" i="1"/>
  <c r="BV258" i="1"/>
  <c r="BR259" i="1" s="1"/>
  <c r="BU259" i="1" s="1"/>
  <c r="BT259" i="1" s="1"/>
  <c r="H258" i="1"/>
  <c r="BO263" i="1"/>
  <c r="BL264" i="1"/>
  <c r="AH262" i="1"/>
  <c r="AI262" i="1"/>
  <c r="AW259" i="1"/>
  <c r="AV259" i="1"/>
  <c r="AS260" i="1" s="1"/>
  <c r="AA259" i="1"/>
  <c r="N260" i="1" s="1"/>
  <c r="E259" i="1"/>
  <c r="T260" i="1"/>
  <c r="U260" i="1"/>
  <c r="BI259" i="1"/>
  <c r="BH259" i="1" s="1"/>
  <c r="BG260" i="1" s="1"/>
  <c r="AO262" i="1"/>
  <c r="AL263" i="1"/>
  <c r="CD259" i="1" l="1"/>
  <c r="BS259" i="1"/>
  <c r="AJ262" i="1"/>
  <c r="AK262" i="1" s="1"/>
  <c r="AP262" i="1" s="1"/>
  <c r="AG263" i="1"/>
  <c r="BN264" i="1"/>
  <c r="BM264" i="1"/>
  <c r="F259" i="1"/>
  <c r="AE259" i="1"/>
  <c r="Y260" i="1"/>
  <c r="Z260" i="1"/>
  <c r="G260" i="1"/>
  <c r="V260" i="1"/>
  <c r="O261" i="1" s="1"/>
  <c r="BJ260" i="1"/>
  <c r="AU260" i="1"/>
  <c r="AT260" i="1"/>
  <c r="AZ260" i="1"/>
  <c r="BB260" i="1" s="1"/>
  <c r="BC260" i="1" s="1"/>
  <c r="BY259" i="1"/>
  <c r="BZ259" i="1"/>
  <c r="CE259" i="1"/>
  <c r="AN263" i="1"/>
  <c r="AM263" i="1"/>
  <c r="E260" i="1" l="1"/>
  <c r="AA260" i="1"/>
  <c r="N261" i="1" s="1"/>
  <c r="CF259" i="1"/>
  <c r="CG259" i="1" s="1"/>
  <c r="CM259" i="1"/>
  <c r="CN259" i="1" s="1"/>
  <c r="BV259" i="1"/>
  <c r="BR260" i="1" s="1"/>
  <c r="BU260" i="1" s="1"/>
  <c r="BT260" i="1" s="1"/>
  <c r="CJ259" i="1"/>
  <c r="H259" i="1"/>
  <c r="U261" i="1"/>
  <c r="T261" i="1"/>
  <c r="AO263" i="1"/>
  <c r="AL264" i="1"/>
  <c r="CD260" i="1"/>
  <c r="CA259" i="1"/>
  <c r="CB259" i="1" s="1"/>
  <c r="BX260" i="1" s="1"/>
  <c r="BO264" i="1"/>
  <c r="BL265" i="1"/>
  <c r="AI263" i="1"/>
  <c r="AH263" i="1"/>
  <c r="AV260" i="1"/>
  <c r="AS261" i="1" s="1"/>
  <c r="AW260" i="1"/>
  <c r="BI260" i="1"/>
  <c r="BH260" i="1" s="1"/>
  <c r="BG261" i="1" s="1"/>
  <c r="BS260" i="1" l="1"/>
  <c r="BZ260" i="1"/>
  <c r="CE260" i="1"/>
  <c r="BY260" i="1"/>
  <c r="BJ261" i="1"/>
  <c r="V261" i="1"/>
  <c r="O262" i="1" s="1"/>
  <c r="G261" i="1"/>
  <c r="AU261" i="1"/>
  <c r="AT261" i="1"/>
  <c r="AZ261" i="1"/>
  <c r="BB261" i="1" s="1"/>
  <c r="BC261" i="1" s="1"/>
  <c r="AJ263" i="1"/>
  <c r="AK263" i="1" s="1"/>
  <c r="AP263" i="1" s="1"/>
  <c r="AG264" i="1"/>
  <c r="BN265" i="1"/>
  <c r="BM265" i="1"/>
  <c r="Z261" i="1"/>
  <c r="Y261" i="1"/>
  <c r="AE260" i="1"/>
  <c r="F260" i="1"/>
  <c r="AN264" i="1"/>
  <c r="AM264" i="1"/>
  <c r="AO264" i="1" l="1"/>
  <c r="AL265" i="1"/>
  <c r="AI264" i="1"/>
  <c r="AH264" i="1"/>
  <c r="CM260" i="1"/>
  <c r="CN260" i="1" s="1"/>
  <c r="CF260" i="1"/>
  <c r="CG260" i="1" s="1"/>
  <c r="BV260" i="1"/>
  <c r="BR261" i="1" s="1"/>
  <c r="BU261" i="1" s="1"/>
  <c r="BT261" i="1" s="1"/>
  <c r="CJ260" i="1"/>
  <c r="H260" i="1"/>
  <c r="T262" i="1"/>
  <c r="U262" i="1"/>
  <c r="AA261" i="1"/>
  <c r="N262" i="1" s="1"/>
  <c r="E261" i="1"/>
  <c r="CD261" i="1"/>
  <c r="AW261" i="1"/>
  <c r="AV261" i="1"/>
  <c r="AS262" i="1" s="1"/>
  <c r="BI261" i="1"/>
  <c r="BH261" i="1" s="1"/>
  <c r="BG262" i="1" s="1"/>
  <c r="BO265" i="1"/>
  <c r="BL266" i="1"/>
  <c r="CA260" i="1"/>
  <c r="CB260" i="1" s="1"/>
  <c r="BX261" i="1" s="1"/>
  <c r="BS261" i="1" l="1"/>
  <c r="BY261" i="1"/>
  <c r="BZ261" i="1"/>
  <c r="CE261" i="1"/>
  <c r="G262" i="1"/>
  <c r="BJ262" i="1"/>
  <c r="V262" i="1"/>
  <c r="O263" i="1" s="1"/>
  <c r="F261" i="1"/>
  <c r="AE261" i="1"/>
  <c r="BN266" i="1"/>
  <c r="BM266" i="1"/>
  <c r="AU262" i="1"/>
  <c r="AZ262" i="1"/>
  <c r="BB262" i="1" s="1"/>
  <c r="BC262" i="1" s="1"/>
  <c r="AT262" i="1"/>
  <c r="AJ264" i="1"/>
  <c r="AK264" i="1" s="1"/>
  <c r="AP264" i="1" s="1"/>
  <c r="AG265" i="1"/>
  <c r="AM265" i="1"/>
  <c r="AN265" i="1"/>
  <c r="Z262" i="1"/>
  <c r="Y262" i="1"/>
  <c r="AA262" i="1" l="1"/>
  <c r="N263" i="1" s="1"/>
  <c r="E262" i="1"/>
  <c r="CF261" i="1"/>
  <c r="CG261" i="1" s="1"/>
  <c r="CM261" i="1"/>
  <c r="CN261" i="1" s="1"/>
  <c r="BV261" i="1"/>
  <c r="BR262" i="1" s="1"/>
  <c r="BU262" i="1" s="1"/>
  <c r="BT262" i="1" s="1"/>
  <c r="CJ261" i="1"/>
  <c r="H261" i="1"/>
  <c r="BO266" i="1"/>
  <c r="BL267" i="1"/>
  <c r="T263" i="1"/>
  <c r="U263" i="1"/>
  <c r="BI262" i="1"/>
  <c r="BH262" i="1" s="1"/>
  <c r="BG263" i="1" s="1"/>
  <c r="AO265" i="1"/>
  <c r="AL266" i="1"/>
  <c r="CD262" i="1"/>
  <c r="AH265" i="1"/>
  <c r="AI265" i="1"/>
  <c r="CA261" i="1"/>
  <c r="CB261" i="1" s="1"/>
  <c r="BX262" i="1" s="1"/>
  <c r="AV262" i="1"/>
  <c r="AS263" i="1" s="1"/>
  <c r="AW262" i="1"/>
  <c r="BS262" i="1" l="1"/>
  <c r="BY262" i="1"/>
  <c r="CE262" i="1"/>
  <c r="BZ262" i="1"/>
  <c r="BJ263" i="1"/>
  <c r="G263" i="1"/>
  <c r="V263" i="1"/>
  <c r="O264" i="1" s="1"/>
  <c r="AJ265" i="1"/>
  <c r="AK265" i="1" s="1"/>
  <c r="AP265" i="1" s="1"/>
  <c r="AG266" i="1"/>
  <c r="AT263" i="1"/>
  <c r="AZ263" i="1"/>
  <c r="BB263" i="1" s="1"/>
  <c r="BC263" i="1" s="1"/>
  <c r="AU263" i="1"/>
  <c r="BN267" i="1"/>
  <c r="BM267" i="1"/>
  <c r="AM266" i="1"/>
  <c r="AN266" i="1"/>
  <c r="AE262" i="1"/>
  <c r="F262" i="1"/>
  <c r="Y263" i="1"/>
  <c r="Z263" i="1"/>
  <c r="AW263" i="1" l="1"/>
  <c r="AV263" i="1"/>
  <c r="AS264" i="1" s="1"/>
  <c r="AA263" i="1"/>
  <c r="N264" i="1" s="1"/>
  <c r="E263" i="1"/>
  <c r="CF262" i="1"/>
  <c r="CG262" i="1" s="1"/>
  <c r="CM262" i="1"/>
  <c r="CN262" i="1" s="1"/>
  <c r="BV262" i="1"/>
  <c r="BR263" i="1" s="1"/>
  <c r="BU263" i="1" s="1"/>
  <c r="CJ262" i="1"/>
  <c r="H262" i="1"/>
  <c r="AI266" i="1"/>
  <c r="AH266" i="1"/>
  <c r="BI263" i="1"/>
  <c r="BH263" i="1" s="1"/>
  <c r="BG264" i="1" s="1"/>
  <c r="U264" i="1"/>
  <c r="T264" i="1"/>
  <c r="AO266" i="1"/>
  <c r="AL267" i="1"/>
  <c r="CA262" i="1"/>
  <c r="CB262" i="1" s="1"/>
  <c r="BX263" i="1" s="1"/>
  <c r="CD263" i="1"/>
  <c r="BO267" i="1"/>
  <c r="BL268" i="1"/>
  <c r="BT263" i="1" l="1"/>
  <c r="BS263" i="1" s="1"/>
  <c r="BZ263" i="1"/>
  <c r="BY263" i="1"/>
  <c r="CE263" i="1"/>
  <c r="AM267" i="1"/>
  <c r="AN267" i="1"/>
  <c r="BJ264" i="1"/>
  <c r="G264" i="1"/>
  <c r="V264" i="1"/>
  <c r="O265" i="1" s="1"/>
  <c r="AE263" i="1"/>
  <c r="F263" i="1"/>
  <c r="Y264" i="1"/>
  <c r="Z264" i="1"/>
  <c r="AU264" i="1"/>
  <c r="AT264" i="1"/>
  <c r="AZ264" i="1"/>
  <c r="BB264" i="1" s="1"/>
  <c r="BC264" i="1" s="1"/>
  <c r="BM268" i="1"/>
  <c r="BN268" i="1"/>
  <c r="AJ266" i="1"/>
  <c r="AK266" i="1" s="1"/>
  <c r="AP266" i="1" s="1"/>
  <c r="AG267" i="1"/>
  <c r="CM263" i="1" l="1"/>
  <c r="CN263" i="1" s="1"/>
  <c r="CF263" i="1"/>
  <c r="CG263" i="1" s="1"/>
  <c r="BV263" i="1"/>
  <c r="BR264" i="1" s="1"/>
  <c r="BU264" i="1" s="1"/>
  <c r="BT264" i="1" s="1"/>
  <c r="CJ263" i="1"/>
  <c r="H263" i="1"/>
  <c r="T265" i="1"/>
  <c r="U265" i="1"/>
  <c r="BO268" i="1"/>
  <c r="BL269" i="1"/>
  <c r="BI264" i="1"/>
  <c r="BH264" i="1" s="1"/>
  <c r="BG265" i="1" s="1"/>
  <c r="AH267" i="1"/>
  <c r="AI267" i="1"/>
  <c r="AO267" i="1"/>
  <c r="AL268" i="1"/>
  <c r="CD264" i="1"/>
  <c r="AV264" i="1"/>
  <c r="AS265" i="1" s="1"/>
  <c r="AW264" i="1"/>
  <c r="AA264" i="1"/>
  <c r="N265" i="1" s="1"/>
  <c r="E264" i="1"/>
  <c r="CA263" i="1"/>
  <c r="CB263" i="1" s="1"/>
  <c r="BX264" i="1" s="1"/>
  <c r="BS264" i="1" l="1"/>
  <c r="BZ264" i="1"/>
  <c r="CE264" i="1"/>
  <c r="BY264" i="1"/>
  <c r="Y265" i="1"/>
  <c r="Z265" i="1"/>
  <c r="BJ265" i="1"/>
  <c r="G265" i="1"/>
  <c r="V265" i="1"/>
  <c r="O266" i="1" s="1"/>
  <c r="AT265" i="1"/>
  <c r="AU265" i="1"/>
  <c r="AZ265" i="1"/>
  <c r="BB265" i="1" s="1"/>
  <c r="BC265" i="1" s="1"/>
  <c r="AJ267" i="1"/>
  <c r="AK267" i="1" s="1"/>
  <c r="AP267" i="1" s="1"/>
  <c r="AG268" i="1"/>
  <c r="AM268" i="1"/>
  <c r="AN268" i="1"/>
  <c r="BM269" i="1"/>
  <c r="BN269" i="1"/>
  <c r="AE264" i="1"/>
  <c r="F264" i="1"/>
  <c r="T266" i="1" l="1"/>
  <c r="U266" i="1"/>
  <c r="BI265" i="1"/>
  <c r="BH265" i="1" s="1"/>
  <c r="BG266" i="1" s="1"/>
  <c r="AA265" i="1"/>
  <c r="N266" i="1" s="1"/>
  <c r="E265" i="1"/>
  <c r="BO269" i="1"/>
  <c r="BL270" i="1"/>
  <c r="AI268" i="1"/>
  <c r="AH268" i="1"/>
  <c r="AV265" i="1"/>
  <c r="AS266" i="1" s="1"/>
  <c r="AW265" i="1"/>
  <c r="CM264" i="1"/>
  <c r="CN264" i="1" s="1"/>
  <c r="BV264" i="1"/>
  <c r="BR265" i="1" s="1"/>
  <c r="BU265" i="1" s="1"/>
  <c r="BT265" i="1" s="1"/>
  <c r="CJ264" i="1"/>
  <c r="CF264" i="1"/>
  <c r="CG264" i="1" s="1"/>
  <c r="H264" i="1"/>
  <c r="AO268" i="1"/>
  <c r="AL269" i="1"/>
  <c r="CA264" i="1"/>
  <c r="CB264" i="1" s="1"/>
  <c r="BX265" i="1" s="1"/>
  <c r="CD265" i="1" l="1"/>
  <c r="BS265" i="1"/>
  <c r="BN270" i="1"/>
  <c r="BL271" i="1" s="1"/>
  <c r="BM270" i="1"/>
  <c r="AN269" i="1"/>
  <c r="AM269" i="1"/>
  <c r="F265" i="1"/>
  <c r="AE265" i="1"/>
  <c r="AU266" i="1"/>
  <c r="AT266" i="1"/>
  <c r="AZ266" i="1"/>
  <c r="BB266" i="1" s="1"/>
  <c r="BC266" i="1" s="1"/>
  <c r="AJ268" i="1"/>
  <c r="AG269" i="1"/>
  <c r="Y266" i="1"/>
  <c r="Z266" i="1"/>
  <c r="BJ266" i="1"/>
  <c r="G266" i="1"/>
  <c r="V266" i="1"/>
  <c r="O267" i="1" s="1"/>
  <c r="BZ265" i="1"/>
  <c r="CE265" i="1"/>
  <c r="BY265" i="1"/>
  <c r="BN271" i="1" l="1"/>
  <c r="BL272" i="1" s="1"/>
  <c r="BM271" i="1"/>
  <c r="AI269" i="1"/>
  <c r="AH269" i="1"/>
  <c r="T267" i="1"/>
  <c r="U267" i="1"/>
  <c r="CM265" i="1"/>
  <c r="CN265" i="1" s="1"/>
  <c r="CF265" i="1"/>
  <c r="CG265" i="1" s="1"/>
  <c r="CJ265" i="1"/>
  <c r="BV265" i="1"/>
  <c r="BR266" i="1" s="1"/>
  <c r="BU266" i="1" s="1"/>
  <c r="H265" i="1"/>
  <c r="AK268" i="1"/>
  <c r="CA265" i="1"/>
  <c r="CB265" i="1" s="1"/>
  <c r="BX266" i="1" s="1"/>
  <c r="AW266" i="1"/>
  <c r="AV266" i="1"/>
  <c r="AS267" i="1" s="1"/>
  <c r="BI266" i="1"/>
  <c r="BH266" i="1" s="1"/>
  <c r="BG267" i="1" s="1"/>
  <c r="AO269" i="1"/>
  <c r="AL270" i="1"/>
  <c r="AA266" i="1"/>
  <c r="N267" i="1" s="1"/>
  <c r="E266" i="1"/>
  <c r="BO270" i="1"/>
  <c r="BN272" i="1" l="1"/>
  <c r="BM272" i="1"/>
  <c r="CD266" i="1"/>
  <c r="BO271" i="1"/>
  <c r="BT266" i="1"/>
  <c r="BS266" i="1" s="1"/>
  <c r="Y267" i="1"/>
  <c r="Z267" i="1"/>
  <c r="AT267" i="1"/>
  <c r="AU267" i="1"/>
  <c r="AZ267" i="1"/>
  <c r="BB267" i="1" s="1"/>
  <c r="BC267" i="1" s="1"/>
  <c r="AN270" i="1"/>
  <c r="AL271" i="1" s="1"/>
  <c r="AM270" i="1"/>
  <c r="G267" i="1"/>
  <c r="BJ267" i="1"/>
  <c r="V267" i="1"/>
  <c r="O268" i="1" s="1"/>
  <c r="BY266" i="1"/>
  <c r="BZ266" i="1"/>
  <c r="CE266" i="1"/>
  <c r="AE266" i="1"/>
  <c r="F266" i="1"/>
  <c r="AP268" i="1"/>
  <c r="AJ269" i="1"/>
  <c r="AK269" i="1" s="1"/>
  <c r="AP269" i="1" s="1"/>
  <c r="AG270" i="1"/>
  <c r="BO272" i="1" l="1"/>
  <c r="BL273" i="1"/>
  <c r="AN271" i="1"/>
  <c r="AL272" i="1" s="1"/>
  <c r="AM271" i="1"/>
  <c r="T268" i="1"/>
  <c r="U268" i="1"/>
  <c r="AH270" i="1"/>
  <c r="AI270" i="1"/>
  <c r="BI267" i="1"/>
  <c r="BH267" i="1" s="1"/>
  <c r="BG268" i="1" s="1"/>
  <c r="AO270" i="1"/>
  <c r="CF266" i="1"/>
  <c r="CG266" i="1" s="1"/>
  <c r="CM266" i="1"/>
  <c r="CN266" i="1" s="1"/>
  <c r="BV266" i="1"/>
  <c r="BR267" i="1" s="1"/>
  <c r="BU267" i="1" s="1"/>
  <c r="BT267" i="1" s="1"/>
  <c r="CJ266" i="1"/>
  <c r="H266" i="1"/>
  <c r="AW267" i="1"/>
  <c r="AV267" i="1"/>
  <c r="AS268" i="1" s="1"/>
  <c r="AA267" i="1"/>
  <c r="N268" i="1" s="1"/>
  <c r="E267" i="1"/>
  <c r="E29" i="10" s="1"/>
  <c r="CA266" i="1"/>
  <c r="CB266" i="1" s="1"/>
  <c r="BX267" i="1" s="1"/>
  <c r="CD267" i="1" l="1"/>
  <c r="AN272" i="1"/>
  <c r="AM272" i="1"/>
  <c r="BN273" i="1"/>
  <c r="BM273" i="1"/>
  <c r="AO271" i="1"/>
  <c r="AJ270" i="1"/>
  <c r="AK270" i="1" s="1"/>
  <c r="AP270" i="1" s="1"/>
  <c r="AG271" i="1"/>
  <c r="BS267" i="1"/>
  <c r="BZ267" i="1"/>
  <c r="CE267" i="1"/>
  <c r="BY267" i="1"/>
  <c r="Y268" i="1"/>
  <c r="Z268" i="1"/>
  <c r="F267" i="1"/>
  <c r="AE267" i="1"/>
  <c r="AZ268" i="1"/>
  <c r="AU268" i="1"/>
  <c r="AT268" i="1"/>
  <c r="BJ268" i="1"/>
  <c r="G268" i="1"/>
  <c r="V268" i="1"/>
  <c r="AO272" i="1" l="1"/>
  <c r="AL273" i="1"/>
  <c r="BO273" i="1"/>
  <c r="BL274" i="1"/>
  <c r="AH271" i="1"/>
  <c r="AI271" i="1"/>
  <c r="AG272" i="1" s="1"/>
  <c r="AW268" i="1"/>
  <c r="AV268" i="1"/>
  <c r="BB268" i="1"/>
  <c r="CF267" i="1"/>
  <c r="CG267" i="1" s="1"/>
  <c r="CM267" i="1"/>
  <c r="CN267" i="1" s="1"/>
  <c r="BV267" i="1"/>
  <c r="BR268" i="1" s="1"/>
  <c r="BU268" i="1" s="1"/>
  <c r="CJ267" i="1"/>
  <c r="H267" i="1"/>
  <c r="E268" i="1"/>
  <c r="AA268" i="1"/>
  <c r="O269" i="1"/>
  <c r="BI268" i="1"/>
  <c r="CA267" i="1"/>
  <c r="CB267" i="1" s="1"/>
  <c r="BX268" i="1" s="1"/>
  <c r="AM273" i="1" l="1"/>
  <c r="AN273" i="1"/>
  <c r="BM274" i="1"/>
  <c r="BN274" i="1"/>
  <c r="AI272" i="1"/>
  <c r="AH272" i="1"/>
  <c r="AJ271" i="1"/>
  <c r="CD268" i="1"/>
  <c r="BH268" i="1"/>
  <c r="BT268" i="1"/>
  <c r="BY268" i="1"/>
  <c r="BZ268" i="1"/>
  <c r="CE268" i="1"/>
  <c r="BG269" i="1"/>
  <c r="T269" i="1"/>
  <c r="U269" i="1"/>
  <c r="N269" i="1"/>
  <c r="BC268" i="1"/>
  <c r="AE268" i="1"/>
  <c r="F268" i="1"/>
  <c r="AS269" i="1"/>
  <c r="BO274" i="1" l="1"/>
  <c r="BL275" i="1"/>
  <c r="AO273" i="1"/>
  <c r="AL274" i="1"/>
  <c r="AK271" i="1"/>
  <c r="AP271" i="1" s="1"/>
  <c r="AJ272" i="1"/>
  <c r="AK272" i="1" s="1"/>
  <c r="AP272" i="1" s="1"/>
  <c r="AG273" i="1"/>
  <c r="BS268" i="1"/>
  <c r="AZ269" i="1"/>
  <c r="BB269" i="1" s="1"/>
  <c r="BC269" i="1" s="1"/>
  <c r="AT269" i="1"/>
  <c r="AU269" i="1"/>
  <c r="Z269" i="1"/>
  <c r="Y269" i="1"/>
  <c r="BJ269" i="1"/>
  <c r="G269" i="1"/>
  <c r="V269" i="1"/>
  <c r="O270" i="1" s="1"/>
  <c r="CF268" i="1"/>
  <c r="CG268" i="1" s="1"/>
  <c r="CJ268" i="1"/>
  <c r="BV268" i="1"/>
  <c r="CM268" i="1"/>
  <c r="CN268" i="1" s="1"/>
  <c r="H268" i="1"/>
  <c r="CA268" i="1"/>
  <c r="BR269" i="1" l="1"/>
  <c r="BU269" i="1" s="1"/>
  <c r="BT269" i="1" s="1"/>
  <c r="BS269" i="1" s="1"/>
  <c r="CD269" i="1"/>
  <c r="AN274" i="1"/>
  <c r="AM274" i="1"/>
  <c r="BN275" i="1"/>
  <c r="BN2" i="1" s="1"/>
  <c r="BM275" i="1"/>
  <c r="AI273" i="1"/>
  <c r="AH273" i="1"/>
  <c r="T270" i="1"/>
  <c r="U270" i="1"/>
  <c r="BI269" i="1"/>
  <c r="BH269" i="1" s="1"/>
  <c r="BG270" i="1" s="1"/>
  <c r="AA269" i="1"/>
  <c r="N270" i="1" s="1"/>
  <c r="E269" i="1"/>
  <c r="AV269" i="1"/>
  <c r="AS270" i="1" s="1"/>
  <c r="AW269" i="1"/>
  <c r="CB268" i="1"/>
  <c r="BX269" i="1" s="1"/>
  <c r="AO274" i="1" l="1"/>
  <c r="BO275" i="1"/>
  <c r="BO2" i="1" s="1"/>
  <c r="BM2" i="1"/>
  <c r="AJ273" i="1"/>
  <c r="AG274" i="1"/>
  <c r="E31" i="10"/>
  <c r="E30" i="10"/>
  <c r="BZ269" i="1"/>
  <c r="CE269" i="1"/>
  <c r="BY269" i="1"/>
  <c r="Y270" i="1"/>
  <c r="Z270" i="1"/>
  <c r="AT270" i="1"/>
  <c r="AZ270" i="1"/>
  <c r="BB270" i="1" s="1"/>
  <c r="BC270" i="1" s="1"/>
  <c r="AU270" i="1"/>
  <c r="AE269" i="1"/>
  <c r="F269" i="1"/>
  <c r="G270" i="1"/>
  <c r="V270" i="1"/>
  <c r="O271" i="1" s="1"/>
  <c r="BJ270" i="1"/>
  <c r="AH274" i="1" l="1"/>
  <c r="AI274" i="1"/>
  <c r="AK273" i="1"/>
  <c r="U271" i="1"/>
  <c r="T271" i="1"/>
  <c r="CM269" i="1"/>
  <c r="CN269" i="1" s="1"/>
  <c r="CF269" i="1"/>
  <c r="CG269" i="1" s="1"/>
  <c r="CJ269" i="1"/>
  <c r="BV269" i="1"/>
  <c r="BR270" i="1" s="1"/>
  <c r="BU270" i="1" s="1"/>
  <c r="H269" i="1"/>
  <c r="AV270" i="1"/>
  <c r="AS271" i="1" s="1"/>
  <c r="AW270" i="1"/>
  <c r="BI270" i="1"/>
  <c r="BH270" i="1" s="1"/>
  <c r="BG271" i="1" s="1"/>
  <c r="CD270" i="1"/>
  <c r="AA270" i="1"/>
  <c r="N271" i="1" s="1"/>
  <c r="E270" i="1"/>
  <c r="CA269" i="1"/>
  <c r="CB269" i="1" s="1"/>
  <c r="BX270" i="1" s="1"/>
  <c r="AJ274" i="1" l="1"/>
  <c r="AP273" i="1"/>
  <c r="AZ271" i="1"/>
  <c r="AT271" i="1"/>
  <c r="AU271" i="1"/>
  <c r="Z271" i="1"/>
  <c r="Y271" i="1"/>
  <c r="BJ271" i="1"/>
  <c r="V271" i="1"/>
  <c r="G271" i="1"/>
  <c r="BT270" i="1"/>
  <c r="BS270" i="1" s="1"/>
  <c r="BZ270" i="1"/>
  <c r="CE270" i="1"/>
  <c r="BY270" i="1"/>
  <c r="AE270" i="1"/>
  <c r="F270" i="1"/>
  <c r="E28" i="10" s="1"/>
  <c r="O272" i="1" l="1"/>
  <c r="AK274" i="1"/>
  <c r="AJ2" i="1"/>
  <c r="BI271" i="1"/>
  <c r="E271" i="1"/>
  <c r="AA271" i="1"/>
  <c r="AW271" i="1"/>
  <c r="AV271" i="1"/>
  <c r="BB271" i="1"/>
  <c r="CM270" i="1"/>
  <c r="CN270" i="1" s="1"/>
  <c r="CF270" i="1"/>
  <c r="CG270" i="1" s="1"/>
  <c r="BV270" i="1"/>
  <c r="BR271" i="1" s="1"/>
  <c r="BU271" i="1" s="1"/>
  <c r="CJ270" i="1"/>
  <c r="H270" i="1"/>
  <c r="CA270" i="1"/>
  <c r="CB270" i="1" s="1"/>
  <c r="BX271" i="1" s="1"/>
  <c r="T272" i="1" l="1"/>
  <c r="U272" i="1"/>
  <c r="AP274" i="1"/>
  <c r="N272" i="1"/>
  <c r="AS272" i="1"/>
  <c r="CD271" i="1"/>
  <c r="BH271" i="1"/>
  <c r="CE271" i="1"/>
  <c r="BZ271" i="1"/>
  <c r="BY271" i="1"/>
  <c r="AE271" i="1"/>
  <c r="F271" i="1"/>
  <c r="BT271" i="1"/>
  <c r="BC271" i="1"/>
  <c r="G272" i="1" l="1"/>
  <c r="V272" i="1"/>
  <c r="BG272" i="1"/>
  <c r="BJ272" i="1" s="1"/>
  <c r="Z272" i="1"/>
  <c r="Y272" i="1"/>
  <c r="AT272" i="1"/>
  <c r="AZ272" i="1"/>
  <c r="AU272" i="1"/>
  <c r="BS271" i="1"/>
  <c r="H271" i="1"/>
  <c r="CM271" i="1"/>
  <c r="CN271" i="1" s="1"/>
  <c r="CJ271" i="1"/>
  <c r="BV271" i="1"/>
  <c r="CF271" i="1"/>
  <c r="CG271" i="1" s="1"/>
  <c r="CA271" i="1"/>
  <c r="BI272" i="1" l="1"/>
  <c r="O273" i="1"/>
  <c r="AW272" i="1"/>
  <c r="CD272" i="1"/>
  <c r="BB272" i="1"/>
  <c r="AA272" i="1"/>
  <c r="AV272" i="1"/>
  <c r="E272" i="1"/>
  <c r="BR272" i="1"/>
  <c r="BU272" i="1" s="1"/>
  <c r="CB271" i="1"/>
  <c r="BX272" i="1" s="1"/>
  <c r="T273" i="1" l="1"/>
  <c r="U273" i="1"/>
  <c r="BH272" i="1"/>
  <c r="N273" i="1"/>
  <c r="AS273" i="1"/>
  <c r="BZ272" i="1"/>
  <c r="BY272" i="1"/>
  <c r="CE272" i="1"/>
  <c r="BC272" i="1"/>
  <c r="BT272" i="1"/>
  <c r="BS272" i="1" s="1"/>
  <c r="F272" i="1"/>
  <c r="AE272" i="1"/>
  <c r="BG273" i="1" l="1"/>
  <c r="BJ273" i="1" s="1"/>
  <c r="V273" i="1"/>
  <c r="G273" i="1"/>
  <c r="AU273" i="1"/>
  <c r="AT273" i="1"/>
  <c r="AZ273" i="1"/>
  <c r="CM272" i="1"/>
  <c r="CN272" i="1" s="1"/>
  <c r="CJ272" i="1"/>
  <c r="CF272" i="1"/>
  <c r="CG272" i="1" s="1"/>
  <c r="H272" i="1"/>
  <c r="BV272" i="1"/>
  <c r="BR273" i="1" s="1"/>
  <c r="BU273" i="1" s="1"/>
  <c r="CA272" i="1"/>
  <c r="Y273" i="1"/>
  <c r="Z273" i="1"/>
  <c r="O274" i="1" l="1"/>
  <c r="BI273" i="1"/>
  <c r="AA273" i="1"/>
  <c r="E273" i="1"/>
  <c r="CB272" i="1"/>
  <c r="BX273" i="1" s="1"/>
  <c r="BB273" i="1"/>
  <c r="CD273" i="1"/>
  <c r="BT273" i="1"/>
  <c r="BS273" i="1" s="1"/>
  <c r="AV273" i="1"/>
  <c r="AW273" i="1"/>
  <c r="BH273" i="1" l="1"/>
  <c r="T274" i="1"/>
  <c r="U274" i="1"/>
  <c r="BY273" i="1"/>
  <c r="BZ273" i="1"/>
  <c r="CE273" i="1"/>
  <c r="BC273" i="1"/>
  <c r="F273" i="1"/>
  <c r="AE273" i="1"/>
  <c r="AS274" i="1"/>
  <c r="N274" i="1"/>
  <c r="V274" i="1" l="1"/>
  <c r="G274" i="1"/>
  <c r="BG274" i="1"/>
  <c r="BJ274" i="1" s="1"/>
  <c r="Z274" i="1"/>
  <c r="Y274" i="1"/>
  <c r="H273" i="1"/>
  <c r="CM273" i="1"/>
  <c r="CN273" i="1" s="1"/>
  <c r="CJ273" i="1"/>
  <c r="BV273" i="1"/>
  <c r="BR274" i="1" s="1"/>
  <c r="BU274" i="1" s="1"/>
  <c r="CF273" i="1"/>
  <c r="CG273" i="1" s="1"/>
  <c r="CA273" i="1"/>
  <c r="CB273" i="1" s="1"/>
  <c r="BX274" i="1" s="1"/>
  <c r="AU274" i="1"/>
  <c r="AZ274" i="1"/>
  <c r="AT274" i="1"/>
  <c r="CD274" i="1" l="1"/>
  <c r="BI274" i="1"/>
  <c r="S275" i="1"/>
  <c r="O275" i="1" s="1"/>
  <c r="CE274" i="1"/>
  <c r="BZ274" i="1"/>
  <c r="BY274" i="1"/>
  <c r="AW274" i="1"/>
  <c r="AV274" i="1"/>
  <c r="BT274" i="1"/>
  <c r="AA274" i="1"/>
  <c r="BB274" i="1"/>
  <c r="E274" i="1"/>
  <c r="X275" i="1" l="1"/>
  <c r="AL275" i="1"/>
  <c r="AS275" i="1"/>
  <c r="T275" i="1"/>
  <c r="T2" i="1" s="1"/>
  <c r="U275" i="1"/>
  <c r="BH274" i="1"/>
  <c r="N275" i="1"/>
  <c r="BS274" i="1"/>
  <c r="BC274" i="1"/>
  <c r="AE274" i="1"/>
  <c r="F274" i="1"/>
  <c r="CA274" i="1"/>
  <c r="AN275" i="1" l="1"/>
  <c r="AM275" i="1"/>
  <c r="G275" i="1"/>
  <c r="G2" i="1" s="1"/>
  <c r="V275" i="1"/>
  <c r="U2" i="1"/>
  <c r="BG275" i="1"/>
  <c r="BJ275" i="1" s="1"/>
  <c r="AT275" i="1"/>
  <c r="AT2" i="1" s="1"/>
  <c r="AU275" i="1"/>
  <c r="AZ275" i="1"/>
  <c r="X2" i="1"/>
  <c r="AG275" i="1"/>
  <c r="Z275" i="1"/>
  <c r="Y275" i="1"/>
  <c r="Y2" i="1" s="1"/>
  <c r="CM274" i="1"/>
  <c r="CN274" i="1" s="1"/>
  <c r="H274" i="1"/>
  <c r="CJ274" i="1"/>
  <c r="BV274" i="1"/>
  <c r="BR275" i="1" s="1"/>
  <c r="BU275" i="1" s="1"/>
  <c r="CF274" i="1"/>
  <c r="CB274" i="1"/>
  <c r="BI275" i="1" l="1"/>
  <c r="BJ2" i="1"/>
  <c r="BB275" i="1"/>
  <c r="AZ2" i="1"/>
  <c r="AV275" i="1"/>
  <c r="AV2" i="1" s="1"/>
  <c r="AW275" i="1"/>
  <c r="AW2" i="1" s="1"/>
  <c r="AU2" i="1"/>
  <c r="AH275" i="1"/>
  <c r="AI275" i="1"/>
  <c r="S276" i="1"/>
  <c r="S2" i="1" s="1"/>
  <c r="V2" i="1"/>
  <c r="AO275" i="1"/>
  <c r="AO2" i="1" s="1"/>
  <c r="E275" i="1"/>
  <c r="AA275" i="1"/>
  <c r="AA2" i="1" s="1"/>
  <c r="Z2" i="1"/>
  <c r="BZ275" i="1"/>
  <c r="BY275" i="1"/>
  <c r="BY2" i="1" s="1"/>
  <c r="CE275" i="1"/>
  <c r="CE2" i="1" s="1"/>
  <c r="CG274" i="1"/>
  <c r="CD275" i="1"/>
  <c r="BT275" i="1"/>
  <c r="BT2" i="1" s="1"/>
  <c r="BU2" i="1"/>
  <c r="BC275" i="1" l="1"/>
  <c r="BC2" i="1" s="1"/>
  <c r="BB2" i="1"/>
  <c r="AJ275" i="1"/>
  <c r="AK275" i="1" s="1"/>
  <c r="BH275" i="1"/>
  <c r="BH2" i="1" s="1"/>
  <c r="BI2" i="1"/>
  <c r="BS275" i="1"/>
  <c r="BS2" i="1" s="1"/>
  <c r="F275" i="1"/>
  <c r="AE275" i="1"/>
  <c r="AE2" i="1" s="1"/>
  <c r="M30" i="10" s="1"/>
  <c r="M31" i="10" s="1"/>
  <c r="M32" i="10" s="1"/>
  <c r="M33" i="10" s="1"/>
  <c r="M34" i="10" s="1"/>
  <c r="E2" i="1"/>
  <c r="CA275" i="1"/>
  <c r="CA2" i="1" s="1"/>
  <c r="BZ2" i="1"/>
  <c r="AP275" i="1" l="1"/>
  <c r="AP2" i="1" s="1"/>
  <c r="AK2" i="1"/>
  <c r="CJ275" i="1"/>
  <c r="CJ2" i="1" s="1"/>
  <c r="CM275" i="1"/>
  <c r="CN275" i="1" s="1"/>
  <c r="CN2" i="1" s="1"/>
  <c r="BV275" i="1"/>
  <c r="H275" i="1"/>
  <c r="H2" i="1" s="1"/>
  <c r="CB275" i="1"/>
  <c r="CF275" i="1"/>
  <c r="CG275" i="1" s="1"/>
  <c r="F2" i="1"/>
  <c r="E3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Paweł Kościewicz</author>
  </authors>
  <commentList>
    <comment ref="F8" authorId="0" shapeId="0" xr:uid="{7C741DB2-BCB5-40ED-8522-6FBCF915B4FE}">
      <text>
        <r>
          <rPr>
            <b/>
            <sz val="14"/>
            <color indexed="81"/>
            <rFont val="Arial"/>
            <family val="2"/>
            <charset val="238"/>
          </rPr>
          <t>Wpisz kwotę kredytu w PLN. Jeśli kredyt wypłacany był w transzach, dla uproszczenia wpisujemy sumę transz.</t>
        </r>
      </text>
    </comment>
    <comment ref="F9" authorId="0" shapeId="0" xr:uid="{1DC5FC7F-7B86-4356-A1EA-9C0734C095AB}">
      <text>
        <r>
          <rPr>
            <b/>
            <sz val="14"/>
            <color indexed="81"/>
            <rFont val="Arial"/>
            <family val="2"/>
            <charset val="238"/>
          </rPr>
          <t>Podaj datę wypłaty kredytu.</t>
        </r>
      </text>
    </comment>
    <comment ref="M9" authorId="0" shapeId="0" xr:uid="{C39EEBD0-1704-4460-99C5-9714F9B05D1D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0" authorId="0" shapeId="0" xr:uid="{8A405FA4-B8E3-43B8-84DE-6D61E1BF262A}">
      <text>
        <r>
          <rPr>
            <b/>
            <sz val="14"/>
            <color indexed="81"/>
            <rFont val="Arial"/>
            <family val="2"/>
            <charset val="238"/>
          </rPr>
          <t>Jeżeli bank pobrał jednorazową prowizję za udzielenie kredytu, podaj jej kwotę.</t>
        </r>
      </text>
    </comment>
    <comment ref="M10" authorId="0" shapeId="0" xr:uid="{450F4A97-9361-4A57-B0D9-525BE6CC5734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1" authorId="0" shapeId="0" xr:uid="{A11D6F66-4A9A-46CB-8421-8FCFDB3FC262}">
      <text>
        <r>
          <rPr>
            <b/>
            <sz val="14"/>
            <color indexed="81"/>
            <rFont val="Arial"/>
            <family val="2"/>
            <charset val="238"/>
          </rPr>
          <t>Podaj walutę indeksacji CHF/EUR/USD. W komórce lista rozwijalna.</t>
        </r>
      </text>
    </comment>
    <comment ref="M11" authorId="0" shapeId="0" xr:uid="{FB4050F6-C4B8-4265-91F3-04FD64C76D30}">
      <text>
        <r>
          <rPr>
            <b/>
            <sz val="14"/>
            <color indexed="81"/>
            <rFont val="Arail"/>
            <charset val="238"/>
          </rPr>
          <t xml:space="preserve">Format daty: 01.XX.XXXX
</t>
        </r>
      </text>
    </comment>
    <comment ref="F12" authorId="0" shapeId="0" xr:uid="{4FB8A10A-67FD-4EEB-948B-84DD58B1FB70}">
      <text>
        <r>
          <rPr>
            <b/>
            <sz val="14"/>
            <color indexed="81"/>
            <rFont val="Arial"/>
            <family val="2"/>
            <charset val="238"/>
          </rPr>
          <t>Podaj marżę na oprocentowaniu kredytu, która jest doliczana do stawki bazowej oprocentowania (LIBOR/EURIBOR).</t>
        </r>
      </text>
    </comment>
    <comment ref="M12" authorId="0" shapeId="0" xr:uid="{E8187756-6852-46DC-9A7C-894571B58F5B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3" authorId="0" shapeId="0" xr:uid="{DA216E7B-C9B1-41BD-914A-4F2C87C40DA4}">
      <text>
        <r>
          <rPr>
            <b/>
            <sz val="14"/>
            <color indexed="81"/>
            <rFont val="Arial"/>
            <family val="2"/>
            <charset val="238"/>
          </rPr>
          <t>Podaj okres kredytowania w miesiącach (np. 10 lat = 120 miesięcy, 20 lat = 240 miesięcy).</t>
        </r>
      </text>
    </comment>
    <comment ref="M13" authorId="0" shapeId="0" xr:uid="{76994361-5589-4BE9-98B7-CC76ECDA08AF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4" authorId="0" shapeId="0" xr:uid="{43E79133-FC95-41D1-8B13-24640A1E6C27}">
      <text>
        <r>
          <rPr>
            <b/>
            <sz val="14"/>
            <color indexed="81"/>
            <rFont val="Arial"/>
            <family val="2"/>
            <charset val="238"/>
          </rPr>
          <t>Wybierz określony w umowie system rat spłaty kredytu: równy lub malejący. W komórce lista rozwijalna.</t>
        </r>
      </text>
    </comment>
    <comment ref="M14" authorId="0" shapeId="0" xr:uid="{E72B6ECB-3267-4932-BAA3-F6F5E90A179A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5" authorId="0" shapeId="0" xr:uid="{F1C26BC4-1404-4F9A-A15C-A8B5EB0D9C82}">
      <text>
        <r>
          <rPr>
            <b/>
            <sz val="14"/>
            <color indexed="81"/>
            <rFont val="Arial"/>
            <family val="2"/>
            <charset val="238"/>
          </rPr>
          <t>Jeżeli spłacasz kredyt bezpośrednio w walucie, podaj datę od której to robisz. Pole może zostać puste.</t>
        </r>
      </text>
    </comment>
    <comment ref="M15" authorId="0" shapeId="0" xr:uid="{6490C005-D64F-42B3-8460-333B30B1F96A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6" authorId="0" shapeId="0" xr:uid="{FDEB8D9A-C966-4450-9C55-54B60D8D36A5}">
      <text>
        <r>
          <rPr>
            <b/>
            <sz val="14"/>
            <color indexed="81"/>
            <rFont val="Arial"/>
            <family val="2"/>
            <charset val="238"/>
          </rPr>
          <t>Podaj liczbę miesięcy karencji w spłacie kredytu. Pole może zostać puste lub mieć wartość 0, jeśli nie było karencji.</t>
        </r>
      </text>
    </comment>
    <comment ref="M16" authorId="0" shapeId="0" xr:uid="{5AA7DEFC-78BD-4A4B-9AF0-F823B3F016F1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7" authorId="0" shapeId="0" xr:uid="{C340FEBB-BABE-464C-99FA-5E482E58F700}">
      <text>
        <r>
          <rPr>
            <b/>
            <sz val="14"/>
            <color indexed="81"/>
            <rFont val="Arial"/>
            <family val="2"/>
            <charset val="238"/>
          </rPr>
          <t>Pole obliczane automatycznie na podstawie kwoty kredytu w PLN i kursu waluty w miesiącu wypłaty kredytu. Jeśli wartość przyjęta przez bank jest inna wpisz kwotę ręcznie.</t>
        </r>
      </text>
    </comment>
    <comment ref="M17" authorId="0" shapeId="0" xr:uid="{9EB61433-B44C-466A-8D0A-EBAB80FFF488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8" authorId="0" shapeId="0" xr:uid="{B0A84ED0-5E85-457E-8389-B50D0F28ADAB}">
      <text>
        <r>
          <rPr>
            <b/>
            <sz val="14"/>
            <color indexed="81"/>
            <rFont val="Arial"/>
            <family val="2"/>
            <charset val="238"/>
          </rPr>
          <t>Zastosowany przez bank kurs kupna waluty z dnia wypłaty kredytu.</t>
        </r>
      </text>
    </comment>
    <comment ref="M18" authorId="0" shapeId="0" xr:uid="{A63B423C-8D32-4D61-A943-32686811A0A7}">
      <text>
        <r>
          <rPr>
            <b/>
            <sz val="14"/>
            <color indexed="81"/>
            <rFont val="Arial"/>
            <family val="2"/>
            <charset val="238"/>
          </rPr>
          <t xml:space="preserve">Format daty: 01.XX.XXXX
</t>
        </r>
      </text>
    </comment>
    <comment ref="F19" authorId="0" shapeId="0" xr:uid="{DCBC1A00-B100-4FBE-9BF5-EDB5DF14FF90}">
      <text>
        <r>
          <rPr>
            <b/>
            <sz val="14"/>
            <color indexed="81"/>
            <rFont val="Arial"/>
            <family val="2"/>
            <charset val="238"/>
          </rPr>
          <t>Dla uproszczenia obliczeń wpisujemy pierwszy dzień miesiąca, w którym spłacona została całość pozostałego kredytu. Jeśli kredyt nie został spłacony, zostaw pole puste.
Format daty: 01.XX.XXXX</t>
        </r>
      </text>
    </comment>
    <comment ref="F20" authorId="0" shapeId="0" xr:uid="{FB5C54D4-1DF4-4AC9-87B0-8F7A3291CFB9}">
      <text>
        <r>
          <rPr>
            <b/>
            <sz val="14"/>
            <color indexed="81"/>
            <rFont val="Arial"/>
            <family val="2"/>
            <charset val="238"/>
          </rPr>
          <t>Jeżeli w umowie była pobrana kwota ubezpieczenia od nieskiego wkładu podaj jej sumę. Jeśli nie, zostaw pole puste lub wpisz 0.</t>
        </r>
      </text>
    </comment>
  </commentList>
</comments>
</file>

<file path=xl/sharedStrings.xml><?xml version="1.0" encoding="utf-8"?>
<sst xmlns="http://schemas.openxmlformats.org/spreadsheetml/2006/main" count="216" uniqueCount="114">
  <si>
    <t>Kwota kredytu w PLN</t>
  </si>
  <si>
    <t>Data udzielenia kredytu</t>
  </si>
  <si>
    <t>Okres kredytowania (mies)</t>
  </si>
  <si>
    <t xml:space="preserve">Rata naliczona </t>
  </si>
  <si>
    <t>Rata należna</t>
  </si>
  <si>
    <t>Różnica</t>
  </si>
  <si>
    <t>Rok</t>
  </si>
  <si>
    <t>CHF</t>
  </si>
  <si>
    <t>PLN</t>
  </si>
  <si>
    <t>Rata kapitałowa</t>
  </si>
  <si>
    <t>Rata odsetkowa</t>
  </si>
  <si>
    <t>Zadłużenie</t>
  </si>
  <si>
    <t>Rata całościowa</t>
  </si>
  <si>
    <t>Rat</t>
  </si>
  <si>
    <t>Suma:</t>
  </si>
  <si>
    <t>Marża banku w %</t>
  </si>
  <si>
    <t>Wcześniejsza spłata</t>
  </si>
  <si>
    <t>Okres kredytowania</t>
  </si>
  <si>
    <t>Spłata tylko odsetek?</t>
  </si>
  <si>
    <t>Kolejna transza kredytu</t>
  </si>
  <si>
    <t xml:space="preserve">Rata odsetkowa </t>
  </si>
  <si>
    <t>Kurs sprzedaży stosowany przez bank</t>
  </si>
  <si>
    <t>`</t>
  </si>
  <si>
    <t>Wysokość zadłużenia</t>
  </si>
  <si>
    <t>Oprocentowanie</t>
  </si>
  <si>
    <t>Raty malejące</t>
  </si>
  <si>
    <t>tak</t>
  </si>
  <si>
    <t>Hipotetyczny kredyt złotowy</t>
  </si>
  <si>
    <t>Kredyt wg kursu średniego NBP</t>
  </si>
  <si>
    <t>Dzień spłaty</t>
  </si>
  <si>
    <t>WIBOR 3M</t>
  </si>
  <si>
    <t>Rata razem</t>
  </si>
  <si>
    <t>Raty należne wg banku</t>
  </si>
  <si>
    <t>Rata kredytu</t>
  </si>
  <si>
    <t>Rata po przeliczeniu wg kursu banku</t>
  </si>
  <si>
    <t>Raty bez klauzul indeksacyjnych</t>
  </si>
  <si>
    <t>Nienależna nadwyżka</t>
  </si>
  <si>
    <t>równe</t>
  </si>
  <si>
    <t>raty równe</t>
  </si>
  <si>
    <t>raty malejące</t>
  </si>
  <si>
    <t>Razem rata</t>
  </si>
  <si>
    <t>Miesiąc spłaty raty</t>
  </si>
  <si>
    <t>Średniomiesięczny kurs NBP</t>
  </si>
  <si>
    <t>EUR</t>
  </si>
  <si>
    <t>LIBOR 3M CHF</t>
  </si>
  <si>
    <t>waluta</t>
  </si>
  <si>
    <t>Rata bez klauzul indeksacyjnych</t>
  </si>
  <si>
    <t>USD</t>
  </si>
  <si>
    <t>Data</t>
  </si>
  <si>
    <t xml:space="preserve">miesięczny kurs średni NBP </t>
  </si>
  <si>
    <t>wskaźniki oprocentowania</t>
  </si>
  <si>
    <t>indeks</t>
  </si>
  <si>
    <t>LIBOR 3M USD</t>
  </si>
  <si>
    <t>EURIBOR 3M EUR</t>
  </si>
  <si>
    <t>Wysokość wskaźników LIBOR w okresie od 09.2006 za stroną mBanku. Za wcześniejszy okres wartość podana na pierwszy dzień miesiąca wg portalu Money.pl</t>
  </si>
  <si>
    <t>Bazowa stawka oprocentowania</t>
  </si>
  <si>
    <t>Stawka bazowa + marża</t>
  </si>
  <si>
    <t>Propozycja PKO BP</t>
  </si>
  <si>
    <t>Marża ponad średnią wartość  WIBOR® 3M</t>
  </si>
  <si>
    <t>Dane KNF</t>
  </si>
  <si>
    <t>https://www.knf.gov.pl/dla_rynku/sad_polubowny_przy_KNF/mediacja/marza?articleId=72862&amp;p_id=18</t>
  </si>
  <si>
    <t>Dla okresu 2002 -2003 przyjęto marżę z umowy</t>
  </si>
  <si>
    <t>Niedopłata/nadpłata raty względem kredytu faktycznie udzielonego</t>
  </si>
  <si>
    <t>Ugoda PKO BP</t>
  </si>
  <si>
    <t>Marża z umowy</t>
  </si>
  <si>
    <t>Stawki EURIBOR</t>
  </si>
  <si>
    <t>https://www.mbank.pl/indywidualny/kredyty/kredyty-hipoteczne/mam-kredyt-hipoteczny/#wibor</t>
  </si>
  <si>
    <t>Liczone przez bank wynagrodzenie za korzystanie z kapitału</t>
  </si>
  <si>
    <t>Odsetki od przeciętnego kredytu</t>
  </si>
  <si>
    <t>Wpłata rzeczywista</t>
  </si>
  <si>
    <t>%</t>
  </si>
  <si>
    <t>Skumulowany wskaźnik Inflacji do ostatniego miesiąca</t>
  </si>
  <si>
    <t>Waloryzacja spłat kredytobiorcy</t>
  </si>
  <si>
    <t>https://stat.gov.pl/obszary-tematyczne/ceny-handel/wskazniki-cen/wskazniki-cen-towarow-i-uslug-konsumpcyjnych-pot-inflacja-/miesieczne-wskazniki-cen-towarow-i-uslug-konsumpcyjnych-od-1982-roku/</t>
  </si>
  <si>
    <t>Skumulowany miesięczny wskaźnik inflacji</t>
  </si>
  <si>
    <t>Waloryzajcja wypłat kredytu</t>
  </si>
  <si>
    <t>Waloryzacja kolejnych transz</t>
  </si>
  <si>
    <t>Waloryzacja płatności wskaźnikiem inflacji</t>
  </si>
  <si>
    <t>Waloryzacja kwoty kredytu (I transzy)</t>
  </si>
  <si>
    <t>Korekta Euribor 3M</t>
  </si>
  <si>
    <t>Korekta Saron 3M CHF</t>
  </si>
  <si>
    <t>Spłata w:</t>
  </si>
  <si>
    <t>Wynagrodzenie dla kredytobiorcy w oparciu o stawkę WIBOR 3M</t>
  </si>
  <si>
    <t>Skumulowana wysokość wpłat kredytobiorcy</t>
  </si>
  <si>
    <t>Odsetki za dany miesiąc wg stopy WIBOR 3M</t>
  </si>
  <si>
    <t>Kredyt indeksowany do</t>
  </si>
  <si>
    <t>Data, od której spłacany jest kredyt w walucie</t>
  </si>
  <si>
    <t>Rozliczenie nieważnej umowy kredytu</t>
  </si>
  <si>
    <t>Kwota wypłaconego kredytu</t>
  </si>
  <si>
    <t>Aktualna wartość rat zapłaconych w walucie</t>
  </si>
  <si>
    <t>Aktualna wartość kursu</t>
  </si>
  <si>
    <t>Karencja (mies)</t>
  </si>
  <si>
    <t>Raty równe/malejące</t>
  </si>
  <si>
    <t>malejące</t>
  </si>
  <si>
    <t>Aktualna wysokość miesięcznej raty spłaty kredytu</t>
  </si>
  <si>
    <t>Aktualna wysokość zadłużenia</t>
  </si>
  <si>
    <t>Suma pobranych przez bank rat kredytu</t>
  </si>
  <si>
    <t>Waluta</t>
  </si>
  <si>
    <t>Aktualne rozliczenie kredytu wg banku</t>
  </si>
  <si>
    <t>Suma zapłaconych rat kredytu w PLN</t>
  </si>
  <si>
    <t>Łączna korzyść kredytobiorcy (zmiejszenie zadłużenia i/lub zwrot nadpłaty)</t>
  </si>
  <si>
    <t>Uzupełnij poniższe dane w celu wyliczenia korzyści</t>
  </si>
  <si>
    <t>Jeśli były robione nadpłaty, podaj kiedy i jaka suma</t>
  </si>
  <si>
    <t>Nr nadpłaty</t>
  </si>
  <si>
    <t>Suma</t>
  </si>
  <si>
    <t>Data całkowitej spłaty</t>
  </si>
  <si>
    <t>Wyliczenia korzyści poniżej:</t>
  </si>
  <si>
    <t>© 2024 HMK - KANCELARIA RADCÓW PRAWNYCH. Wszelkie prawa zastrzeżone. Publikowane narzędzie ma charakter pomocniczy, a wyliczenia są orientacyjne. Dokładne obliczenia powiiny być wykonane przez specjalistę z uwzględnieniem rzeczywiście stosowanego przez bank oprocentowania, dokładnych kwot i dat wypłat transz kredytu oraz kwot płaconych przez kredytobiorcę. Wykorzystanie wyłącznie na cele osobiste, wykorzystanie do celów zawodowych wymaga pisemnej zgody.</t>
  </si>
  <si>
    <t>Suma zapłaconych rat kredytu w walucie obcej</t>
  </si>
  <si>
    <t>Suma w PLN</t>
  </si>
  <si>
    <t>Do zwrotu na rzecz banku/kredytobiorcy</t>
  </si>
  <si>
    <t>Ubezpieczenie niskiego wkładu w PLN</t>
  </si>
  <si>
    <t>Prowizja za udzielenie kredytu w PLN</t>
  </si>
  <si>
    <t>Łączna wartość wpłat kredytobiorcy (spłaty + nadpłaty)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</si>
</sst>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0"/>
    <numFmt numFmtId="166" formatCode="#,##0.0000\ &quot;zł&quot;;[Red]\-#,##0.0000\ &quot;zł&quot;"/>
    <numFmt numFmtId="167" formatCode="_-* #,##0\ _z_ł_-;\-* #,##0\ _z_ł_-;_-* &quot;-&quot;??\ _z_ł_-;_-@_-"/>
    <numFmt numFmtId="168" formatCode="[$-415]mmm\ yy;@"/>
    <numFmt numFmtId="169" formatCode="#0.0000"/>
    <numFmt numFmtId="170" formatCode="0.0000%"/>
    <numFmt numFmtId="171" formatCode="#,##0.00\ &quot;zł&quot;"/>
  </numFmts>
  <fonts count="24"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indexed="81"/>
      <name val="Arial"/>
      <family val="2"/>
      <charset val="238"/>
    </font>
    <font>
      <sz val="20"/>
      <color theme="1"/>
      <name val="Arial Nova"/>
      <family val="2"/>
    </font>
    <font>
      <b/>
      <sz val="20"/>
      <color theme="1"/>
      <name val="Arial Nova"/>
      <family val="2"/>
    </font>
    <font>
      <sz val="12"/>
      <color theme="1"/>
      <name val="Arial Nova"/>
      <family val="2"/>
    </font>
    <font>
      <sz val="12"/>
      <color theme="5"/>
      <name val="Arial Nova"/>
      <family val="2"/>
    </font>
    <font>
      <sz val="14"/>
      <color rgb="FFC00000"/>
      <name val="Arial Nova"/>
      <family val="2"/>
    </font>
    <font>
      <sz val="14"/>
      <color theme="1"/>
      <name val="Arial Nova"/>
      <family val="2"/>
    </font>
    <font>
      <b/>
      <sz val="14"/>
      <color theme="1"/>
      <name val="Arial Nova"/>
      <family val="2"/>
    </font>
    <font>
      <b/>
      <sz val="12"/>
      <color theme="1"/>
      <name val="Arial Nova"/>
      <family val="2"/>
    </font>
    <font>
      <b/>
      <sz val="14"/>
      <color indexed="81"/>
      <name val="Arai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8">
    <xf numFmtId="0" fontId="0" fillId="0" borderId="0" xfId="0"/>
    <xf numFmtId="0" fontId="6" fillId="2" borderId="0" xfId="0" applyFont="1" applyFill="1" applyProtection="1">
      <protection hidden="1"/>
    </xf>
    <xf numFmtId="168" fontId="6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9" fontId="6" fillId="2" borderId="0" xfId="0" applyNumberFormat="1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4" fontId="6" fillId="2" borderId="0" xfId="0" applyNumberFormat="1" applyFont="1" applyFill="1" applyAlignment="1" applyProtection="1">
      <alignment horizontal="center"/>
      <protection hidden="1"/>
    </xf>
    <xf numFmtId="167" fontId="6" fillId="2" borderId="0" xfId="1" applyNumberFormat="1" applyFont="1" applyFill="1" applyAlignment="1" applyProtection="1">
      <protection hidden="1"/>
    </xf>
    <xf numFmtId="3" fontId="6" fillId="2" borderId="0" xfId="1" applyNumberFormat="1" applyFont="1" applyFill="1" applyAlignment="1" applyProtection="1">
      <protection hidden="1"/>
    </xf>
    <xf numFmtId="4" fontId="6" fillId="2" borderId="0" xfId="1" applyNumberFormat="1" applyFont="1" applyFill="1" applyAlignment="1" applyProtection="1">
      <protection hidden="1"/>
    </xf>
    <xf numFmtId="4" fontId="6" fillId="2" borderId="0" xfId="0" applyNumberFormat="1" applyFont="1" applyFill="1" applyProtection="1">
      <protection hidden="1"/>
    </xf>
    <xf numFmtId="3" fontId="6" fillId="2" borderId="0" xfId="0" applyNumberFormat="1" applyFont="1" applyFill="1" applyProtection="1">
      <protection hidden="1"/>
    </xf>
    <xf numFmtId="0" fontId="9" fillId="2" borderId="0" xfId="0" applyFont="1" applyFill="1" applyProtection="1">
      <protection hidden="1"/>
    </xf>
    <xf numFmtId="4" fontId="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168" fontId="0" fillId="2" borderId="0" xfId="0" applyNumberFormat="1" applyFill="1" applyProtection="1">
      <protection hidden="1"/>
    </xf>
    <xf numFmtId="3" fontId="0" fillId="2" borderId="0" xfId="0" applyNumberFormat="1" applyFill="1" applyAlignment="1" applyProtection="1">
      <alignment horizontal="center"/>
      <protection hidden="1"/>
    </xf>
    <xf numFmtId="9" fontId="0" fillId="2" borderId="7" xfId="0" applyNumberFormat="1" applyFill="1" applyBorder="1" applyAlignment="1" applyProtection="1">
      <alignment horizontal="center"/>
      <protection hidden="1"/>
    </xf>
    <xf numFmtId="4" fontId="0" fillId="2" borderId="1" xfId="0" applyNumberForma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167" fontId="4" fillId="2" borderId="1" xfId="1" applyNumberFormat="1" applyFont="1" applyFill="1" applyBorder="1" applyAlignment="1" applyProtection="1">
      <protection hidden="1"/>
    </xf>
    <xf numFmtId="4" fontId="0" fillId="2" borderId="0" xfId="0" applyNumberFormat="1" applyFill="1" applyProtection="1">
      <protection hidden="1"/>
    </xf>
    <xf numFmtId="3" fontId="0" fillId="2" borderId="0" xfId="0" applyNumberFormat="1" applyFill="1" applyProtection="1">
      <protection hidden="1"/>
    </xf>
    <xf numFmtId="0" fontId="5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3" fontId="5" fillId="2" borderId="0" xfId="0" applyNumberFormat="1" applyFont="1" applyFill="1" applyProtection="1">
      <protection hidden="1"/>
    </xf>
    <xf numFmtId="4" fontId="0" fillId="2" borderId="1" xfId="0" applyNumberFormat="1" applyFill="1" applyBorder="1" applyProtection="1">
      <protection hidden="1"/>
    </xf>
    <xf numFmtId="0" fontId="0" fillId="2" borderId="1" xfId="0" applyFill="1" applyBorder="1" applyAlignment="1" applyProtection="1">
      <alignment wrapText="1"/>
      <protection hidden="1"/>
    </xf>
    <xf numFmtId="168" fontId="0" fillId="2" borderId="1" xfId="0" applyNumberFormat="1" applyFill="1" applyBorder="1" applyAlignment="1" applyProtection="1">
      <alignment wrapText="1"/>
      <protection hidden="1"/>
    </xf>
    <xf numFmtId="0" fontId="0" fillId="2" borderId="6" xfId="0" applyFill="1" applyBorder="1" applyAlignment="1" applyProtection="1">
      <alignment horizontal="center" wrapText="1"/>
      <protection hidden="1"/>
    </xf>
    <xf numFmtId="0" fontId="0" fillId="3" borderId="8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2" fontId="0" fillId="2" borderId="1" xfId="0" applyNumberFormat="1" applyFill="1" applyBorder="1" applyAlignment="1" applyProtection="1">
      <alignment horizontal="center" wrapText="1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9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167" fontId="4" fillId="3" borderId="13" xfId="1" applyNumberFormat="1" applyFont="1" applyFill="1" applyBorder="1" applyAlignment="1" applyProtection="1">
      <alignment wrapText="1"/>
      <protection hidden="1"/>
    </xf>
    <xf numFmtId="167" fontId="4" fillId="3" borderId="14" xfId="1" applyNumberFormat="1" applyFont="1" applyFill="1" applyBorder="1" applyAlignment="1" applyProtection="1">
      <alignment wrapText="1"/>
      <protection hidden="1"/>
    </xf>
    <xf numFmtId="3" fontId="4" fillId="3" borderId="14" xfId="1" applyNumberFormat="1" applyFont="1" applyFill="1" applyBorder="1" applyAlignment="1" applyProtection="1">
      <alignment wrapText="1"/>
      <protection hidden="1"/>
    </xf>
    <xf numFmtId="3" fontId="4" fillId="3" borderId="15" xfId="1" applyNumberFormat="1" applyFont="1" applyFill="1" applyBorder="1" applyAlignment="1" applyProtection="1">
      <alignment wrapText="1"/>
      <protection hidden="1"/>
    </xf>
    <xf numFmtId="4" fontId="4" fillId="2" borderId="9" xfId="1" applyNumberFormat="1" applyFont="1" applyFill="1" applyBorder="1" applyAlignment="1" applyProtection="1">
      <alignment wrapText="1"/>
      <protection hidden="1"/>
    </xf>
    <xf numFmtId="4" fontId="4" fillId="2" borderId="1" xfId="1" applyNumberFormat="1" applyFont="1" applyFill="1" applyBorder="1" applyAlignment="1" applyProtection="1">
      <alignment wrapText="1"/>
      <protection hidden="1"/>
    </xf>
    <xf numFmtId="4" fontId="0" fillId="2" borderId="1" xfId="0" applyNumberFormat="1" applyFill="1" applyBorder="1" applyAlignment="1" applyProtection="1">
      <alignment horizontal="center" wrapText="1"/>
      <protection hidden="1"/>
    </xf>
    <xf numFmtId="4" fontId="0" fillId="2" borderId="2" xfId="0" applyNumberFormat="1" applyFill="1" applyBorder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 wrapText="1"/>
      <protection hidden="1"/>
    </xf>
    <xf numFmtId="4" fontId="0" fillId="2" borderId="0" xfId="0" applyNumberFormat="1" applyFill="1" applyAlignment="1" applyProtection="1">
      <alignment horizontal="center" wrapText="1"/>
      <protection hidden="1"/>
    </xf>
    <xf numFmtId="4" fontId="0" fillId="2" borderId="0" xfId="0" applyNumberFormat="1" applyFill="1" applyAlignment="1" applyProtection="1">
      <alignment wrapText="1"/>
      <protection hidden="1"/>
    </xf>
    <xf numFmtId="0" fontId="0" fillId="2" borderId="10" xfId="0" applyFill="1" applyBorder="1" applyAlignment="1" applyProtection="1">
      <alignment wrapText="1"/>
      <protection hidden="1"/>
    </xf>
    <xf numFmtId="3" fontId="0" fillId="2" borderId="9" xfId="0" applyNumberFormat="1" applyFill="1" applyBorder="1" applyAlignment="1" applyProtection="1">
      <alignment horizontal="center" wrapText="1"/>
      <protection hidden="1"/>
    </xf>
    <xf numFmtId="3" fontId="0" fillId="2" borderId="2" xfId="0" applyNumberFormat="1" applyFill="1" applyBorder="1" applyAlignment="1" applyProtection="1">
      <alignment horizontal="center" wrapText="1"/>
      <protection hidden="1"/>
    </xf>
    <xf numFmtId="3" fontId="0" fillId="2" borderId="1" xfId="0" applyNumberFormat="1" applyFill="1" applyBorder="1" applyAlignment="1" applyProtection="1">
      <alignment horizontal="center" wrapText="1"/>
      <protection hidden="1"/>
    </xf>
    <xf numFmtId="3" fontId="0" fillId="2" borderId="1" xfId="0" applyNumberFormat="1" applyFill="1" applyBorder="1" applyAlignment="1" applyProtection="1">
      <alignment wrapText="1"/>
      <protection hidden="1"/>
    </xf>
    <xf numFmtId="4" fontId="0" fillId="2" borderId="1" xfId="0" applyNumberFormat="1" applyFill="1" applyBorder="1" applyAlignment="1" applyProtection="1">
      <alignment wrapText="1"/>
      <protection hidden="1"/>
    </xf>
    <xf numFmtId="4" fontId="0" fillId="2" borderId="9" xfId="0" applyNumberForma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right"/>
      <protection hidden="1"/>
    </xf>
    <xf numFmtId="168" fontId="0" fillId="2" borderId="1" xfId="0" applyNumberFormat="1" applyFill="1" applyBorder="1" applyAlignment="1" applyProtection="1">
      <alignment horizontal="right"/>
      <protection hidden="1"/>
    </xf>
    <xf numFmtId="3" fontId="0" fillId="2" borderId="6" xfId="0" applyNumberFormat="1" applyFill="1" applyBorder="1" applyAlignment="1" applyProtection="1">
      <alignment horizontal="center"/>
      <protection hidden="1"/>
    </xf>
    <xf numFmtId="3" fontId="0" fillId="3" borderId="11" xfId="0" applyNumberFormat="1" applyFill="1" applyBorder="1" applyAlignment="1" applyProtection="1">
      <alignment horizontal="center"/>
      <protection hidden="1"/>
    </xf>
    <xf numFmtId="3" fontId="0" fillId="2" borderId="2" xfId="0" applyNumberFormat="1" applyFill="1" applyBorder="1" applyAlignment="1" applyProtection="1">
      <alignment horizontal="center"/>
      <protection hidden="1"/>
    </xf>
    <xf numFmtId="166" fontId="0" fillId="2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3" fontId="0" fillId="2" borderId="9" xfId="0" applyNumberForma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7" fontId="4" fillId="3" borderId="9" xfId="1" applyNumberFormat="1" applyFont="1" applyFill="1" applyBorder="1" applyAlignment="1" applyProtection="1">
      <protection hidden="1"/>
    </xf>
    <xf numFmtId="167" fontId="4" fillId="3" borderId="2" xfId="1" applyNumberFormat="1" applyFont="1" applyFill="1" applyBorder="1" applyAlignment="1" applyProtection="1">
      <protection hidden="1"/>
    </xf>
    <xf numFmtId="3" fontId="4" fillId="3" borderId="2" xfId="1" applyNumberFormat="1" applyFont="1" applyFill="1" applyBorder="1" applyAlignment="1" applyProtection="1">
      <protection hidden="1"/>
    </xf>
    <xf numFmtId="3" fontId="4" fillId="3" borderId="5" xfId="1" applyNumberFormat="1" applyFont="1" applyFill="1" applyBorder="1" applyAlignment="1" applyProtection="1">
      <protection hidden="1"/>
    </xf>
    <xf numFmtId="4" fontId="4" fillId="2" borderId="9" xfId="1" applyNumberFormat="1" applyFont="1" applyFill="1" applyBorder="1" applyAlignment="1" applyProtection="1">
      <protection hidden="1"/>
    </xf>
    <xf numFmtId="4" fontId="4" fillId="2" borderId="1" xfId="1" applyNumberFormat="1" applyFont="1" applyFill="1" applyBorder="1" applyAlignment="1" applyProtection="1">
      <protection hidden="1"/>
    </xf>
    <xf numFmtId="4" fontId="0" fillId="2" borderId="2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4" fontId="0" fillId="2" borderId="0" xfId="0" applyNumberFormat="1" applyFill="1" applyAlignment="1" applyProtection="1">
      <alignment horizontal="center"/>
      <protection hidden="1"/>
    </xf>
    <xf numFmtId="0" fontId="0" fillId="2" borderId="10" xfId="0" applyFill="1" applyBorder="1" applyProtection="1">
      <protection hidden="1"/>
    </xf>
    <xf numFmtId="0" fontId="0" fillId="2" borderId="9" xfId="0" applyFill="1" applyBorder="1" applyAlignment="1" applyProtection="1">
      <alignment horizontal="center"/>
      <protection hidden="1"/>
    </xf>
    <xf numFmtId="10" fontId="0" fillId="2" borderId="1" xfId="5" applyNumberFormat="1" applyFont="1" applyFill="1" applyBorder="1" applyProtection="1">
      <protection hidden="1"/>
    </xf>
    <xf numFmtId="4" fontId="0" fillId="2" borderId="9" xfId="0" applyNumberFormat="1" applyFill="1" applyBorder="1" applyAlignment="1" applyProtection="1">
      <alignment horizontal="center"/>
      <protection hidden="1"/>
    </xf>
    <xf numFmtId="168" fontId="0" fillId="2" borderId="1" xfId="0" applyNumberFormat="1" applyFill="1" applyBorder="1" applyProtection="1">
      <protection hidden="1"/>
    </xf>
    <xf numFmtId="165" fontId="6" fillId="2" borderId="6" xfId="0" applyNumberFormat="1" applyFont="1" applyFill="1" applyBorder="1" applyAlignment="1" applyProtection="1">
      <alignment horizontal="center"/>
      <protection hidden="1"/>
    </xf>
    <xf numFmtId="165" fontId="6" fillId="3" borderId="11" xfId="0" applyNumberFormat="1" applyFont="1" applyFill="1" applyBorder="1" applyAlignment="1" applyProtection="1">
      <alignment horizontal="center"/>
      <protection hidden="1"/>
    </xf>
    <xf numFmtId="10" fontId="0" fillId="2" borderId="6" xfId="0" applyNumberFormat="1" applyFill="1" applyBorder="1" applyAlignment="1" applyProtection="1">
      <alignment horizontal="center"/>
      <protection hidden="1"/>
    </xf>
    <xf numFmtId="10" fontId="0" fillId="3" borderId="11" xfId="0" applyNumberFormat="1" applyFill="1" applyBorder="1" applyAlignment="1" applyProtection="1">
      <alignment horizontal="center"/>
      <protection hidden="1"/>
    </xf>
    <xf numFmtId="4" fontId="0" fillId="2" borderId="5" xfId="0" applyNumberFormat="1" applyFill="1" applyBorder="1" applyAlignment="1" applyProtection="1">
      <alignment horizontal="center"/>
      <protection hidden="1"/>
    </xf>
    <xf numFmtId="4" fontId="4" fillId="3" borderId="5" xfId="1" applyNumberFormat="1" applyFont="1" applyFill="1" applyBorder="1" applyAlignment="1" applyProtection="1">
      <protection hidden="1"/>
    </xf>
    <xf numFmtId="14" fontId="0" fillId="2" borderId="0" xfId="0" applyNumberFormat="1" applyFill="1" applyProtection="1">
      <protection hidden="1"/>
    </xf>
    <xf numFmtId="10" fontId="11" fillId="0" borderId="0" xfId="0" applyNumberFormat="1" applyFont="1" applyProtection="1">
      <protection hidden="1"/>
    </xf>
    <xf numFmtId="10" fontId="0" fillId="2" borderId="0" xfId="0" applyNumberFormat="1" applyFill="1" applyProtection="1">
      <protection hidden="1"/>
    </xf>
    <xf numFmtId="168" fontId="8" fillId="4" borderId="3" xfId="0" applyNumberFormat="1" applyFont="1" applyFill="1" applyBorder="1" applyProtection="1">
      <protection hidden="1"/>
    </xf>
    <xf numFmtId="168" fontId="8" fillId="4" borderId="1" xfId="0" applyNumberFormat="1" applyFont="1" applyFill="1" applyBorder="1" applyProtection="1">
      <protection hidden="1"/>
    </xf>
    <xf numFmtId="1" fontId="0" fillId="2" borderId="1" xfId="0" applyNumberFormat="1" applyFill="1" applyBorder="1" applyProtection="1">
      <protection hidden="1"/>
    </xf>
    <xf numFmtId="3" fontId="4" fillId="3" borderId="12" xfId="1" applyNumberFormat="1" applyFont="1" applyFill="1" applyBorder="1" applyAlignment="1" applyProtection="1">
      <protection hidden="1"/>
    </xf>
    <xf numFmtId="167" fontId="4" fillId="2" borderId="0" xfId="1" applyNumberFormat="1" applyFont="1" applyFill="1" applyAlignment="1" applyProtection="1">
      <protection hidden="1"/>
    </xf>
    <xf numFmtId="3" fontId="4" fillId="2" borderId="0" xfId="1" applyNumberFormat="1" applyFont="1" applyFill="1" applyAlignment="1" applyProtection="1">
      <protection hidden="1"/>
    </xf>
    <xf numFmtId="4" fontId="4" fillId="2" borderId="0" xfId="1" applyNumberFormat="1" applyFont="1" applyFill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3" applyAlignment="1" applyProtection="1">
      <alignment horizontal="left"/>
      <protection hidden="1"/>
    </xf>
    <xf numFmtId="0" fontId="0" fillId="0" borderId="1" xfId="0" applyBorder="1" applyAlignment="1" applyProtection="1">
      <alignment horizontal="right"/>
      <protection hidden="1"/>
    </xf>
    <xf numFmtId="165" fontId="0" fillId="0" borderId="1" xfId="0" applyNumberFormat="1" applyBorder="1" applyAlignment="1" applyProtection="1">
      <alignment horizontal="right"/>
      <protection hidden="1"/>
    </xf>
    <xf numFmtId="0" fontId="1" fillId="0" borderId="0" xfId="3" applyFill="1" applyAlignment="1" applyProtection="1">
      <alignment horizontal="left"/>
      <protection hidden="1"/>
    </xf>
    <xf numFmtId="168" fontId="0" fillId="0" borderId="1" xfId="0" applyNumberFormat="1" applyBorder="1" applyAlignment="1" applyProtection="1">
      <alignment horizontal="right"/>
      <protection hidden="1"/>
    </xf>
    <xf numFmtId="165" fontId="6" fillId="0" borderId="1" xfId="0" applyNumberFormat="1" applyFont="1" applyBorder="1" applyAlignment="1" applyProtection="1">
      <alignment horizontal="right"/>
      <protection hidden="1"/>
    </xf>
    <xf numFmtId="10" fontId="0" fillId="0" borderId="1" xfId="0" applyNumberFormat="1" applyBorder="1" applyAlignment="1" applyProtection="1">
      <alignment horizontal="right"/>
      <protection hidden="1"/>
    </xf>
    <xf numFmtId="10" fontId="0" fillId="0" borderId="1" xfId="5" applyNumberFormat="1" applyFont="1" applyBorder="1" applyProtection="1">
      <protection hidden="1"/>
    </xf>
    <xf numFmtId="10" fontId="8" fillId="0" borderId="0" xfId="0" applyNumberFormat="1" applyFont="1" applyProtection="1">
      <protection hidden="1"/>
    </xf>
    <xf numFmtId="10" fontId="0" fillId="0" borderId="0" xfId="0" applyNumberFormat="1" applyAlignment="1" applyProtection="1">
      <alignment horizontal="right"/>
      <protection hidden="1"/>
    </xf>
    <xf numFmtId="10" fontId="13" fillId="0" borderId="0" xfId="0" applyNumberFormat="1" applyFont="1" applyProtection="1">
      <protection hidden="1"/>
    </xf>
    <xf numFmtId="168" fontId="8" fillId="0" borderId="1" xfId="0" applyNumberFormat="1" applyFont="1" applyBorder="1" applyAlignment="1" applyProtection="1">
      <alignment horizontal="right"/>
      <protection hidden="1"/>
    </xf>
    <xf numFmtId="10" fontId="10" fillId="0" borderId="16" xfId="0" applyNumberFormat="1" applyFont="1" applyBorder="1" applyAlignment="1" applyProtection="1">
      <alignment horizontal="right"/>
      <protection hidden="1"/>
    </xf>
    <xf numFmtId="10" fontId="10" fillId="0" borderId="17" xfId="0" applyNumberFormat="1" applyFont="1" applyBorder="1" applyAlignment="1" applyProtection="1">
      <alignment horizontal="right"/>
      <protection hidden="1"/>
    </xf>
    <xf numFmtId="10" fontId="10" fillId="0" borderId="16" xfId="5" applyNumberFormat="1" applyFont="1" applyBorder="1" applyProtection="1">
      <protection hidden="1"/>
    </xf>
    <xf numFmtId="10" fontId="4" fillId="0" borderId="1" xfId="5" applyNumberFormat="1" applyFont="1" applyFill="1" applyBorder="1" applyAlignment="1" applyProtection="1">
      <alignment horizontal="right"/>
      <protection hidden="1"/>
    </xf>
    <xf numFmtId="10" fontId="10" fillId="0" borderId="17" xfId="5" applyNumberFormat="1" applyFont="1" applyBorder="1" applyProtection="1">
      <protection hidden="1"/>
    </xf>
    <xf numFmtId="169" fontId="0" fillId="0" borderId="18" xfId="0" applyNumberFormat="1" applyBorder="1" applyProtection="1">
      <protection hidden="1"/>
    </xf>
    <xf numFmtId="10" fontId="12" fillId="0" borderId="0" xfId="0" applyNumberFormat="1" applyFont="1" applyProtection="1">
      <protection hidden="1"/>
    </xf>
    <xf numFmtId="169" fontId="0" fillId="0" borderId="19" xfId="0" applyNumberFormat="1" applyBorder="1" applyProtection="1">
      <protection hidden="1"/>
    </xf>
    <xf numFmtId="10" fontId="8" fillId="0" borderId="20" xfId="0" applyNumberFormat="1" applyFont="1" applyBorder="1" applyProtection="1">
      <protection hidden="1"/>
    </xf>
    <xf numFmtId="168" fontId="0" fillId="0" borderId="7" xfId="0" applyNumberFormat="1" applyBorder="1" applyAlignment="1" applyProtection="1">
      <alignment horizontal="right"/>
      <protection hidden="1"/>
    </xf>
    <xf numFmtId="169" fontId="0" fillId="0" borderId="21" xfId="0" applyNumberFormat="1" applyBorder="1" applyProtection="1">
      <protection hidden="1"/>
    </xf>
    <xf numFmtId="170" fontId="0" fillId="0" borderId="0" xfId="0" applyNumberFormat="1" applyAlignment="1" applyProtection="1">
      <alignment horizontal="right"/>
      <protection hidden="1"/>
    </xf>
    <xf numFmtId="169" fontId="0" fillId="0" borderId="1" xfId="0" applyNumberFormat="1" applyBorder="1" applyProtection="1">
      <protection hidden="1"/>
    </xf>
    <xf numFmtId="10" fontId="0" fillId="0" borderId="0" xfId="5" applyNumberFormat="1" applyFont="1" applyAlignment="1" applyProtection="1">
      <alignment horizontal="right"/>
      <protection hidden="1"/>
    </xf>
    <xf numFmtId="9" fontId="13" fillId="0" borderId="0" xfId="0" applyNumberFormat="1" applyFont="1" applyProtection="1">
      <protection hidden="1"/>
    </xf>
    <xf numFmtId="0" fontId="4" fillId="3" borderId="2" xfId="1" applyNumberFormat="1" applyFont="1" applyFill="1" applyBorder="1" applyAlignment="1" applyProtection="1">
      <protection hidden="1"/>
    </xf>
    <xf numFmtId="165" fontId="6" fillId="2" borderId="47" xfId="0" applyNumberFormat="1" applyFont="1" applyFill="1" applyBorder="1" applyAlignment="1" applyProtection="1">
      <alignment horizontal="center"/>
      <protection hidden="1"/>
    </xf>
    <xf numFmtId="168" fontId="0" fillId="2" borderId="38" xfId="0" applyNumberFormat="1" applyFill="1" applyBorder="1" applyProtection="1">
      <protection hidden="1"/>
    </xf>
    <xf numFmtId="4" fontId="0" fillId="2" borderId="38" xfId="0" applyNumberFormat="1" applyFill="1" applyBorder="1" applyAlignment="1" applyProtection="1">
      <alignment horizontal="center"/>
      <protection hidden="1"/>
    </xf>
    <xf numFmtId="0" fontId="0" fillId="2" borderId="38" xfId="0" applyFill="1" applyBorder="1" applyProtection="1">
      <protection hidden="1"/>
    </xf>
    <xf numFmtId="168" fontId="0" fillId="0" borderId="3" xfId="0" applyNumberFormat="1" applyBorder="1" applyAlignment="1" applyProtection="1">
      <alignment horizontal="right"/>
      <protection hidden="1"/>
    </xf>
    <xf numFmtId="168" fontId="0" fillId="0" borderId="38" xfId="0" applyNumberFormat="1" applyBorder="1" applyAlignment="1" applyProtection="1">
      <alignment horizontal="right"/>
      <protection hidden="1"/>
    </xf>
    <xf numFmtId="165" fontId="0" fillId="0" borderId="38" xfId="0" applyNumberFormat="1" applyBorder="1" applyAlignment="1" applyProtection="1">
      <alignment horizontal="right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8" fillId="3" borderId="0" xfId="0" applyFont="1" applyFill="1" applyProtection="1">
      <protection hidden="1"/>
    </xf>
    <xf numFmtId="14" fontId="18" fillId="3" borderId="0" xfId="0" applyNumberFormat="1" applyFont="1" applyFill="1" applyProtection="1">
      <protection hidden="1"/>
    </xf>
    <xf numFmtId="165" fontId="18" fillId="3" borderId="0" xfId="5" applyNumberFormat="1" applyFont="1" applyFill="1" applyProtection="1">
      <protection hidden="1"/>
    </xf>
    <xf numFmtId="0" fontId="21" fillId="5" borderId="32" xfId="0" applyFont="1" applyFill="1" applyBorder="1" applyProtection="1">
      <protection hidden="1"/>
    </xf>
    <xf numFmtId="0" fontId="21" fillId="5" borderId="33" xfId="0" applyFont="1" applyFill="1" applyBorder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7" fillId="5" borderId="31" xfId="0" applyFont="1" applyFill="1" applyBorder="1" applyProtection="1">
      <protection hidden="1"/>
    </xf>
    <xf numFmtId="0" fontId="22" fillId="5" borderId="32" xfId="0" applyFont="1" applyFill="1" applyBorder="1" applyProtection="1">
      <protection hidden="1"/>
    </xf>
    <xf numFmtId="0" fontId="22" fillId="5" borderId="33" xfId="0" applyFont="1" applyFill="1" applyBorder="1" applyAlignment="1" applyProtection="1">
      <alignment wrapText="1"/>
      <protection hidden="1"/>
    </xf>
    <xf numFmtId="0" fontId="22" fillId="5" borderId="49" xfId="0" applyFont="1" applyFill="1" applyBorder="1" applyAlignment="1" applyProtection="1">
      <alignment horizontal="center" wrapText="1"/>
      <protection hidden="1"/>
    </xf>
    <xf numFmtId="0" fontId="22" fillId="5" borderId="4" xfId="0" applyFont="1" applyFill="1" applyBorder="1" applyAlignment="1" applyProtection="1">
      <alignment horizontal="center" wrapText="1"/>
      <protection hidden="1"/>
    </xf>
    <xf numFmtId="0" fontId="22" fillId="5" borderId="50" xfId="0" applyFont="1" applyFill="1" applyBorder="1" applyAlignment="1" applyProtection="1">
      <alignment horizontal="center" wrapText="1"/>
      <protection hidden="1"/>
    </xf>
    <xf numFmtId="0" fontId="22" fillId="5" borderId="3" xfId="0" applyFont="1" applyFill="1" applyBorder="1" applyAlignment="1" applyProtection="1">
      <alignment horizontal="center" wrapText="1"/>
      <protection hidden="1"/>
    </xf>
    <xf numFmtId="0" fontId="22" fillId="5" borderId="51" xfId="0" applyFont="1" applyFill="1" applyBorder="1" applyAlignment="1" applyProtection="1">
      <alignment horizontal="center" wrapText="1"/>
      <protection hidden="1"/>
    </xf>
    <xf numFmtId="0" fontId="22" fillId="5" borderId="39" xfId="0" applyFont="1" applyFill="1" applyBorder="1" applyAlignment="1" applyProtection="1">
      <alignment wrapText="1"/>
      <protection hidden="1"/>
    </xf>
    <xf numFmtId="0" fontId="17" fillId="5" borderId="38" xfId="0" applyFont="1" applyFill="1" applyBorder="1" applyProtection="1">
      <protection hidden="1"/>
    </xf>
    <xf numFmtId="164" fontId="17" fillId="5" borderId="34" xfId="1" applyFont="1" applyFill="1" applyBorder="1" applyProtection="1">
      <protection hidden="1"/>
    </xf>
    <xf numFmtId="164" fontId="17" fillId="5" borderId="38" xfId="1" applyFont="1" applyFill="1" applyBorder="1" applyAlignment="1" applyProtection="1">
      <protection hidden="1"/>
    </xf>
    <xf numFmtId="164" fontId="17" fillId="5" borderId="34" xfId="1" applyFont="1" applyFill="1" applyBorder="1" applyAlignment="1" applyProtection="1">
      <protection hidden="1"/>
    </xf>
    <xf numFmtId="0" fontId="22" fillId="5" borderId="40" xfId="0" applyFont="1" applyFill="1" applyBorder="1" applyAlignment="1" applyProtection="1">
      <alignment wrapText="1"/>
      <protection hidden="1"/>
    </xf>
    <xf numFmtId="0" fontId="17" fillId="5" borderId="41" xfId="0" applyFont="1" applyFill="1" applyBorder="1" applyProtection="1">
      <protection hidden="1"/>
    </xf>
    <xf numFmtId="164" fontId="17" fillId="5" borderId="42" xfId="1" applyFont="1" applyFill="1" applyBorder="1" applyProtection="1">
      <protection hidden="1"/>
    </xf>
    <xf numFmtId="164" fontId="17" fillId="5" borderId="34" xfId="0" applyNumberFormat="1" applyFont="1" applyFill="1" applyBorder="1" applyProtection="1">
      <protection hidden="1"/>
    </xf>
    <xf numFmtId="164" fontId="17" fillId="6" borderId="38" xfId="1" applyFont="1" applyFill="1" applyBorder="1" applyAlignment="1" applyProtection="1">
      <protection hidden="1"/>
    </xf>
    <xf numFmtId="164" fontId="17" fillId="6" borderId="42" xfId="0" applyNumberFormat="1" applyFont="1" applyFill="1" applyBorder="1" applyProtection="1">
      <protection hidden="1"/>
    </xf>
    <xf numFmtId="0" fontId="17" fillId="2" borderId="0" xfId="0" applyFont="1" applyFill="1" applyAlignment="1" applyProtection="1">
      <alignment horizontal="center" wrapText="1"/>
      <protection hidden="1"/>
    </xf>
    <xf numFmtId="44" fontId="20" fillId="3" borderId="24" xfId="6" applyFont="1" applyFill="1" applyBorder="1" applyAlignment="1" applyProtection="1">
      <alignment horizontal="right" vertical="center"/>
      <protection locked="0" hidden="1"/>
    </xf>
    <xf numFmtId="14" fontId="20" fillId="3" borderId="27" xfId="0" applyNumberFormat="1" applyFont="1" applyFill="1" applyBorder="1" applyAlignment="1" applyProtection="1">
      <alignment horizontal="right"/>
      <protection locked="0" hidden="1"/>
    </xf>
    <xf numFmtId="171" fontId="20" fillId="3" borderId="30" xfId="0" applyNumberFormat="1" applyFont="1" applyFill="1" applyBorder="1" applyProtection="1">
      <protection locked="0" hidden="1"/>
    </xf>
    <xf numFmtId="0" fontId="20" fillId="3" borderId="27" xfId="0" applyFont="1" applyFill="1" applyBorder="1" applyAlignment="1" applyProtection="1">
      <alignment horizontal="right"/>
      <protection locked="0" hidden="1"/>
    </xf>
    <xf numFmtId="10" fontId="20" fillId="3" borderId="27" xfId="0" applyNumberFormat="1" applyFont="1" applyFill="1" applyBorder="1" applyAlignment="1" applyProtection="1">
      <alignment horizontal="right"/>
      <protection locked="0" hidden="1"/>
    </xf>
    <xf numFmtId="164" fontId="20" fillId="3" borderId="27" xfId="1" applyFont="1" applyFill="1" applyBorder="1" applyAlignment="1" applyProtection="1">
      <alignment horizontal="right"/>
      <protection locked="0" hidden="1"/>
    </xf>
    <xf numFmtId="165" fontId="20" fillId="3" borderId="46" xfId="0" applyNumberFormat="1" applyFont="1" applyFill="1" applyBorder="1" applyAlignment="1" applyProtection="1">
      <alignment horizontal="right"/>
      <protection locked="0" hidden="1"/>
    </xf>
    <xf numFmtId="14" fontId="20" fillId="3" borderId="34" xfId="0" applyNumberFormat="1" applyFont="1" applyFill="1" applyBorder="1" applyProtection="1">
      <protection locked="0" hidden="1"/>
    </xf>
    <xf numFmtId="44" fontId="20" fillId="3" borderId="42" xfId="6" applyFont="1" applyFill="1" applyBorder="1" applyProtection="1">
      <protection locked="0" hidden="1"/>
    </xf>
    <xf numFmtId="14" fontId="20" fillId="3" borderId="38" xfId="0" applyNumberFormat="1" applyFont="1" applyFill="1" applyBorder="1" applyProtection="1">
      <protection locked="0" hidden="1"/>
    </xf>
    <xf numFmtId="0" fontId="21" fillId="3" borderId="34" xfId="0" applyFont="1" applyFill="1" applyBorder="1" applyProtection="1">
      <protection locked="0" hidden="1"/>
    </xf>
    <xf numFmtId="14" fontId="20" fillId="3" borderId="41" xfId="0" applyNumberFormat="1" applyFont="1" applyFill="1" applyBorder="1" applyProtection="1">
      <protection locked="0" hidden="1"/>
    </xf>
    <xf numFmtId="0" fontId="21" fillId="3" borderId="42" xfId="0" applyFont="1" applyFill="1" applyBorder="1" applyProtection="1">
      <protection locked="0" hidden="1"/>
    </xf>
    <xf numFmtId="0" fontId="19" fillId="5" borderId="25" xfId="0" applyFont="1" applyFill="1" applyBorder="1" applyAlignment="1" applyProtection="1">
      <alignment horizontal="center"/>
      <protection hidden="1"/>
    </xf>
    <xf numFmtId="0" fontId="19" fillId="5" borderId="26" xfId="0" applyFont="1" applyFill="1" applyBorder="1" applyAlignment="1" applyProtection="1">
      <alignment horizontal="center"/>
      <protection hidden="1"/>
    </xf>
    <xf numFmtId="0" fontId="19" fillId="5" borderId="28" xfId="0" applyFont="1" applyFill="1" applyBorder="1" applyAlignment="1" applyProtection="1">
      <alignment horizontal="center"/>
      <protection hidden="1"/>
    </xf>
    <xf numFmtId="0" fontId="19" fillId="5" borderId="29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9" fillId="5" borderId="22" xfId="0" applyFont="1" applyFill="1" applyBorder="1" applyAlignment="1" applyProtection="1">
      <alignment horizontal="center"/>
      <protection hidden="1"/>
    </xf>
    <xf numFmtId="0" fontId="19" fillId="5" borderId="23" xfId="0" applyFont="1" applyFill="1" applyBorder="1" applyAlignment="1" applyProtection="1">
      <alignment horizontal="center"/>
      <protection hidden="1"/>
    </xf>
    <xf numFmtId="0" fontId="21" fillId="5" borderId="36" xfId="0" applyFont="1" applyFill="1" applyBorder="1" applyAlignment="1" applyProtection="1">
      <alignment horizontal="right"/>
      <protection hidden="1"/>
    </xf>
    <xf numFmtId="0" fontId="21" fillId="5" borderId="37" xfId="0" applyFont="1" applyFill="1" applyBorder="1" applyAlignment="1" applyProtection="1">
      <alignment horizontal="right"/>
      <protection hidden="1"/>
    </xf>
    <xf numFmtId="0" fontId="21" fillId="5" borderId="31" xfId="0" applyFont="1" applyFill="1" applyBorder="1" applyAlignment="1" applyProtection="1">
      <alignment horizontal="right"/>
      <protection hidden="1"/>
    </xf>
    <xf numFmtId="0" fontId="21" fillId="5" borderId="32" xfId="0" applyFont="1" applyFill="1" applyBorder="1" applyAlignment="1" applyProtection="1">
      <alignment horizontal="right"/>
      <protection hidden="1"/>
    </xf>
    <xf numFmtId="0" fontId="21" fillId="5" borderId="35" xfId="0" applyFont="1" applyFill="1" applyBorder="1" applyAlignment="1" applyProtection="1">
      <alignment horizontal="right"/>
      <protection hidden="1"/>
    </xf>
    <xf numFmtId="0" fontId="21" fillId="5" borderId="43" xfId="0" applyFont="1" applyFill="1" applyBorder="1" applyAlignment="1" applyProtection="1">
      <alignment horizontal="right"/>
      <protection hidden="1"/>
    </xf>
    <xf numFmtId="0" fontId="22" fillId="5" borderId="31" xfId="0" applyFont="1" applyFill="1" applyBorder="1" applyAlignment="1" applyProtection="1">
      <alignment horizontal="center" wrapText="1"/>
      <protection hidden="1"/>
    </xf>
    <xf numFmtId="0" fontId="22" fillId="5" borderId="32" xfId="0" applyFont="1" applyFill="1" applyBorder="1" applyAlignment="1" applyProtection="1">
      <alignment horizontal="center" wrapText="1"/>
      <protection hidden="1"/>
    </xf>
    <xf numFmtId="0" fontId="22" fillId="5" borderId="33" xfId="0" applyFont="1" applyFill="1" applyBorder="1" applyAlignment="1" applyProtection="1">
      <alignment horizontal="center" wrapText="1"/>
      <protection hidden="1"/>
    </xf>
    <xf numFmtId="0" fontId="19" fillId="5" borderId="40" xfId="0" applyFont="1" applyFill="1" applyBorder="1" applyAlignment="1" applyProtection="1">
      <alignment horizontal="center"/>
      <protection hidden="1"/>
    </xf>
    <xf numFmtId="0" fontId="19" fillId="5" borderId="41" xfId="0" applyFont="1" applyFill="1" applyBorder="1" applyAlignment="1" applyProtection="1">
      <alignment horizontal="center"/>
      <protection hidden="1"/>
    </xf>
    <xf numFmtId="0" fontId="19" fillId="5" borderId="25" xfId="0" applyFont="1" applyFill="1" applyBorder="1" applyAlignment="1" applyProtection="1">
      <alignment horizontal="center" wrapText="1"/>
      <protection hidden="1"/>
    </xf>
    <xf numFmtId="0" fontId="19" fillId="5" borderId="26" xfId="0" applyFont="1" applyFill="1" applyBorder="1" applyAlignment="1" applyProtection="1">
      <alignment horizontal="center" wrapText="1"/>
      <protection hidden="1"/>
    </xf>
    <xf numFmtId="0" fontId="19" fillId="5" borderId="44" xfId="0" applyFont="1" applyFill="1" applyBorder="1" applyAlignment="1" applyProtection="1">
      <alignment horizontal="center" wrapText="1"/>
      <protection hidden="1"/>
    </xf>
    <xf numFmtId="0" fontId="19" fillId="5" borderId="45" xfId="0" applyFont="1" applyFill="1" applyBorder="1" applyAlignment="1" applyProtection="1">
      <alignment horizontal="center" wrapText="1"/>
      <protection hidden="1"/>
    </xf>
    <xf numFmtId="0" fontId="19" fillId="5" borderId="39" xfId="0" applyFont="1" applyFill="1" applyBorder="1" applyAlignment="1" applyProtection="1">
      <alignment horizontal="center"/>
      <protection hidden="1"/>
    </xf>
    <xf numFmtId="0" fontId="19" fillId="5" borderId="38" xfId="0" applyFont="1" applyFill="1" applyBorder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 wrapText="1"/>
      <protection hidden="1"/>
    </xf>
    <xf numFmtId="0" fontId="22" fillId="5" borderId="35" xfId="0" applyFont="1" applyFill="1" applyBorder="1" applyAlignment="1" applyProtection="1">
      <alignment horizontal="center" vertical="center" wrapText="1"/>
      <protection hidden="1"/>
    </xf>
    <xf numFmtId="0" fontId="22" fillId="5" borderId="47" xfId="0" applyFont="1" applyFill="1" applyBorder="1" applyAlignment="1" applyProtection="1">
      <alignment horizontal="center" vertical="center" wrapText="1"/>
      <protection hidden="1"/>
    </xf>
    <xf numFmtId="0" fontId="22" fillId="5" borderId="43" xfId="0" applyFont="1" applyFill="1" applyBorder="1" applyAlignment="1" applyProtection="1">
      <alignment horizontal="center" vertical="center" wrapText="1"/>
      <protection hidden="1"/>
    </xf>
    <xf numFmtId="0" fontId="22" fillId="6" borderId="36" xfId="0" applyFont="1" applyFill="1" applyBorder="1" applyAlignment="1" applyProtection="1">
      <alignment horizontal="center" vertical="center" wrapText="1"/>
      <protection hidden="1"/>
    </xf>
    <xf numFmtId="0" fontId="22" fillId="6" borderId="48" xfId="0" applyFont="1" applyFill="1" applyBorder="1" applyAlignment="1" applyProtection="1">
      <alignment horizontal="center" vertical="center" wrapText="1"/>
      <protection hidden="1"/>
    </xf>
    <xf numFmtId="0" fontId="22" fillId="6" borderId="37" xfId="0" applyFont="1" applyFill="1" applyBorder="1" applyAlignment="1" applyProtection="1">
      <alignment horizontal="center" vertical="center" wrapText="1"/>
      <protection hidden="1"/>
    </xf>
  </cellXfs>
  <cellStyles count="7">
    <cellStyle name="Dziesiętny" xfId="1" builtinId="3"/>
    <cellStyle name="Excel Built-in Normal" xfId="2" xr:uid="{00000000-0005-0000-0000-000001000000}"/>
    <cellStyle name="Hiperłącze" xfId="3" builtinId="8"/>
    <cellStyle name="Normalny" xfId="0" builtinId="0"/>
    <cellStyle name="Normalny 2" xfId="4" xr:uid="{00000000-0005-0000-0000-000005000000}"/>
    <cellStyle name="Procentowy" xfId="5" builtinId="5"/>
    <cellStyle name="Walutowy" xfId="6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E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Wysokość rat</a:t>
            </a:r>
            <a:r>
              <a:rPr lang="pl-PL" baseline="0"/>
              <a:t> kredytu indeksowanego oraz analogicznego kredytu złotowego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678958880139983"/>
          <c:y val="0.19721055701370663"/>
          <c:w val="0.83265485564304464"/>
          <c:h val="0.77736111111111106"/>
        </c:manualLayout>
      </c:layout>
      <c:lineChart>
        <c:grouping val="standard"/>
        <c:varyColors val="0"/>
        <c:ser>
          <c:idx val="0"/>
          <c:order val="0"/>
          <c:tx>
            <c:v>Rata kredytu indeksowanego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KALKULATOR!$B$5:$B$252</c:f>
              <c:numCache>
                <c:formatCode>[$-415]mmm\ yy;@</c:formatCode>
                <c:ptCount val="248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43283</c:v>
                </c:pt>
                <c:pt idx="199">
                  <c:v>43315</c:v>
                </c:pt>
                <c:pt idx="200">
                  <c:v>43347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</c:numCache>
            </c:numRef>
          </c:cat>
          <c:val>
            <c:numRef>
              <c:f>KALKULATOR!$F$5:$F$252</c:f>
              <c:numCache>
                <c:formatCode>#,##0.00</c:formatCode>
                <c:ptCount val="2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-1218.2862816433058</c:v>
                </c:pt>
                <c:pt idx="77">
                  <c:v>-1199.5815659992531</c:v>
                </c:pt>
                <c:pt idx="78">
                  <c:v>-1155.4054788683802</c:v>
                </c:pt>
                <c:pt idx="79">
                  <c:v>-1163.437494710357</c:v>
                </c:pt>
                <c:pt idx="80">
                  <c:v>-1213.5228506392561</c:v>
                </c:pt>
                <c:pt idx="81">
                  <c:v>-1377.8969970099001</c:v>
                </c:pt>
                <c:pt idx="82">
                  <c:v>-1407.9167094072832</c:v>
                </c:pt>
                <c:pt idx="83">
                  <c:v>-1266.3055203296276</c:v>
                </c:pt>
                <c:pt idx="84">
                  <c:v>-1275.0928806612624</c:v>
                </c:pt>
                <c:pt idx="85">
                  <c:v>-1380.4261739640833</c:v>
                </c:pt>
                <c:pt idx="86">
                  <c:v>-1360.7381067243525</c:v>
                </c:pt>
                <c:pt idx="87">
                  <c:v>-1271.4117329498551</c:v>
                </c:pt>
                <c:pt idx="88">
                  <c:v>-1273.1139904109777</c:v>
                </c:pt>
                <c:pt idx="89">
                  <c:v>-1298.5605570734022</c:v>
                </c:pt>
                <c:pt idx="90">
                  <c:v>-1236.3190406744015</c:v>
                </c:pt>
                <c:pt idx="91">
                  <c:v>-1182.8506973442645</c:v>
                </c:pt>
                <c:pt idx="92">
                  <c:v>-1199.785976701075</c:v>
                </c:pt>
                <c:pt idx="93">
                  <c:v>-1199.6108989488289</c:v>
                </c:pt>
                <c:pt idx="94">
                  <c:v>-1190.0057418461902</c:v>
                </c:pt>
                <c:pt idx="95">
                  <c:v>-1188.1105538976874</c:v>
                </c:pt>
                <c:pt idx="96">
                  <c:v>-1187.6367569105616</c:v>
                </c:pt>
                <c:pt idx="97">
                  <c:v>-1178.9361213287996</c:v>
                </c:pt>
                <c:pt idx="98">
                  <c:v>-1158.0029089885197</c:v>
                </c:pt>
                <c:pt idx="99">
                  <c:v>-1162.8270237665267</c:v>
                </c:pt>
                <c:pt idx="100">
                  <c:v>-1227.7372110027438</c:v>
                </c:pt>
                <c:pt idx="101">
                  <c:v>-1255.3853858347966</c:v>
                </c:pt>
                <c:pt idx="102">
                  <c:v>-1277.7292052482044</c:v>
                </c:pt>
                <c:pt idx="103">
                  <c:v>-1253.1510038934562</c:v>
                </c:pt>
                <c:pt idx="104">
                  <c:v>-1273.007492466503</c:v>
                </c:pt>
                <c:pt idx="105">
                  <c:v>-1237.6789629034176</c:v>
                </c:pt>
                <c:pt idx="106">
                  <c:v>-1240.7986659913277</c:v>
                </c:pt>
                <c:pt idx="107">
                  <c:v>-1313.4371581598193</c:v>
                </c:pt>
                <c:pt idx="108">
                  <c:v>-1285.9500444663447</c:v>
                </c:pt>
                <c:pt idx="109">
                  <c:v>-1277.8978378475504</c:v>
                </c:pt>
                <c:pt idx="110">
                  <c:v>-1314.8283771044275</c:v>
                </c:pt>
                <c:pt idx="111">
                  <c:v>-1289.7021198018037</c:v>
                </c:pt>
                <c:pt idx="112">
                  <c:v>-1323.7659048697906</c:v>
                </c:pt>
                <c:pt idx="113">
                  <c:v>-1382.7451564912185</c:v>
                </c:pt>
                <c:pt idx="114">
                  <c:v>-1425.9572600737513</c:v>
                </c:pt>
                <c:pt idx="115">
                  <c:v>-1555.3827800721676</c:v>
                </c:pt>
                <c:pt idx="116">
                  <c:v>-1508.301525423753</c:v>
                </c:pt>
                <c:pt idx="117">
                  <c:v>-1476.9627928755069</c:v>
                </c:pt>
                <c:pt idx="118">
                  <c:v>-1497.5079991870564</c:v>
                </c:pt>
                <c:pt idx="119">
                  <c:v>-1519.7618332040288</c:v>
                </c:pt>
                <c:pt idx="120">
                  <c:v>-1505.8844423282762</c:v>
                </c:pt>
                <c:pt idx="121">
                  <c:v>-1444.4155187795232</c:v>
                </c:pt>
                <c:pt idx="122">
                  <c:v>-1429.4129340489797</c:v>
                </c:pt>
                <c:pt idx="123">
                  <c:v>-1464.091538184718</c:v>
                </c:pt>
                <c:pt idx="124">
                  <c:v>-1504.72328170182</c:v>
                </c:pt>
                <c:pt idx="125">
                  <c:v>-1511.6778851046436</c:v>
                </c:pt>
                <c:pt idx="126">
                  <c:v>-1470.3296066914929</c:v>
                </c:pt>
                <c:pt idx="127">
                  <c:v>-1435.7673352350364</c:v>
                </c:pt>
                <c:pt idx="128">
                  <c:v>-1440.1508428343918</c:v>
                </c:pt>
                <c:pt idx="129">
                  <c:v>-1431.5945731933427</c:v>
                </c:pt>
                <c:pt idx="130">
                  <c:v>-1446.1360166719735</c:v>
                </c:pt>
                <c:pt idx="131">
                  <c:v>-1427.6325567093097</c:v>
                </c:pt>
                <c:pt idx="132">
                  <c:v>-1403.9237958624983</c:v>
                </c:pt>
                <c:pt idx="133">
                  <c:v>-1414.1367276593539</c:v>
                </c:pt>
                <c:pt idx="134">
                  <c:v>-1413.4697606848649</c:v>
                </c:pt>
                <c:pt idx="135">
                  <c:v>-1415.0538072492752</c:v>
                </c:pt>
                <c:pt idx="136">
                  <c:v>-1402.8399745289537</c:v>
                </c:pt>
                <c:pt idx="137">
                  <c:v>-1449.6110336149636</c:v>
                </c:pt>
                <c:pt idx="138">
                  <c:v>-1441.5657444851959</c:v>
                </c:pt>
                <c:pt idx="139">
                  <c:v>-1428.8100010981022</c:v>
                </c:pt>
                <c:pt idx="140">
                  <c:v>-1431.8530379192057</c:v>
                </c:pt>
                <c:pt idx="141">
                  <c:v>-1418.6804401730574</c:v>
                </c:pt>
                <c:pt idx="142">
                  <c:v>-1417.1380790445523</c:v>
                </c:pt>
                <c:pt idx="143">
                  <c:v>-1420.9731391478615</c:v>
                </c:pt>
                <c:pt idx="144">
                  <c:v>-1414.5952674543148</c:v>
                </c:pt>
                <c:pt idx="145">
                  <c:v>-1425.8503351488093</c:v>
                </c:pt>
                <c:pt idx="146">
                  <c:v>-1436.9386610996814</c:v>
                </c:pt>
                <c:pt idx="147">
                  <c:v>-1430.5191039702288</c:v>
                </c:pt>
                <c:pt idx="148">
                  <c:v>-1427.4760671491247</c:v>
                </c:pt>
                <c:pt idx="149">
                  <c:v>-1415.8458305314809</c:v>
                </c:pt>
                <c:pt idx="150">
                  <c:v>-1422.0569604814057</c:v>
                </c:pt>
                <c:pt idx="151">
                  <c:v>-1442.3994532033064</c:v>
                </c:pt>
                <c:pt idx="152">
                  <c:v>-1446.2761987425213</c:v>
                </c:pt>
                <c:pt idx="153">
                  <c:v>-1451.2367656152796</c:v>
                </c:pt>
                <c:pt idx="154">
                  <c:v>-1459.4487964886696</c:v>
                </c:pt>
                <c:pt idx="155">
                  <c:v>-1464.11756531009</c:v>
                </c:pt>
                <c:pt idx="156">
                  <c:v>-1637.112124318058</c:v>
                </c:pt>
                <c:pt idx="157">
                  <c:v>-1496.15083787461</c:v>
                </c:pt>
                <c:pt idx="158">
                  <c:v>-1480.5508723711107</c:v>
                </c:pt>
                <c:pt idx="159">
                  <c:v>-1476.746002736111</c:v>
                </c:pt>
                <c:pt idx="160">
                  <c:v>-1491.9274325797603</c:v>
                </c:pt>
                <c:pt idx="161">
                  <c:v>-1514.9849425678585</c:v>
                </c:pt>
                <c:pt idx="162">
                  <c:v>-1526.8518948301928</c:v>
                </c:pt>
                <c:pt idx="163">
                  <c:v>-1499.9575394010294</c:v>
                </c:pt>
                <c:pt idx="164">
                  <c:v>-1487.4736265657152</c:v>
                </c:pt>
                <c:pt idx="165">
                  <c:v>-1504.8123943925398</c:v>
                </c:pt>
                <c:pt idx="166">
                  <c:v>-1511.9020239039528</c:v>
                </c:pt>
                <c:pt idx="167">
                  <c:v>-1526.3124664978027</c:v>
                </c:pt>
                <c:pt idx="168">
                  <c:v>-1548.0051915789195</c:v>
                </c:pt>
                <c:pt idx="169">
                  <c:v>-1537.1780943359468</c:v>
                </c:pt>
                <c:pt idx="170">
                  <c:v>-1514.6762267562447</c:v>
                </c:pt>
                <c:pt idx="171">
                  <c:v>-1514.6762267562449</c:v>
                </c:pt>
                <c:pt idx="172">
                  <c:v>-1536.368951837361</c:v>
                </c:pt>
                <c:pt idx="173">
                  <c:v>-1555.634249422722</c:v>
                </c:pt>
                <c:pt idx="174">
                  <c:v>-1559.1405335832574</c:v>
                </c:pt>
                <c:pt idx="175">
                  <c:v>-1523.8465084068762</c:v>
                </c:pt>
                <c:pt idx="176">
                  <c:v>-1525.2721404281933</c:v>
                </c:pt>
                <c:pt idx="177">
                  <c:v>-1526.3895276881449</c:v>
                </c:pt>
                <c:pt idx="178">
                  <c:v>-1570.0832226117429</c:v>
                </c:pt>
                <c:pt idx="179">
                  <c:v>-1589.6182343632986</c:v>
                </c:pt>
                <c:pt idx="180">
                  <c:v>-1571.7400382040839</c:v>
                </c:pt>
                <c:pt idx="181">
                  <c:v>-1557.5607791812583</c:v>
                </c:pt>
                <c:pt idx="182">
                  <c:v>-1544.6144992038955</c:v>
                </c:pt>
                <c:pt idx="183">
                  <c:v>-1523.2685494793159</c:v>
                </c:pt>
                <c:pt idx="184">
                  <c:v>-1486.5103616864478</c:v>
                </c:pt>
                <c:pt idx="185">
                  <c:v>-1491.4422778682997</c:v>
                </c:pt>
                <c:pt idx="186">
                  <c:v>-1475.3750196821086</c:v>
                </c:pt>
                <c:pt idx="187">
                  <c:v>-1443.7799316421167</c:v>
                </c:pt>
                <c:pt idx="188">
                  <c:v>-1434.1087522542657</c:v>
                </c:pt>
                <c:pt idx="189">
                  <c:v>-1424.3990422712434</c:v>
                </c:pt>
                <c:pt idx="190">
                  <c:v>-1399.7394613619817</c:v>
                </c:pt>
                <c:pt idx="191">
                  <c:v>-1384.7125292454007</c:v>
                </c:pt>
                <c:pt idx="192">
                  <c:v>-1368.2599651075022</c:v>
                </c:pt>
                <c:pt idx="193">
                  <c:v>-1391.5324445906181</c:v>
                </c:pt>
                <c:pt idx="194">
                  <c:v>-1389.4903230465695</c:v>
                </c:pt>
                <c:pt idx="195">
                  <c:v>-1360.3226625023333</c:v>
                </c:pt>
                <c:pt idx="196">
                  <c:v>-1398.0055845792992</c:v>
                </c:pt>
                <c:pt idx="197">
                  <c:v>-1436.0352820128019</c:v>
                </c:pt>
                <c:pt idx="198">
                  <c:v>-1435.7655678466067</c:v>
                </c:pt>
                <c:pt idx="199">
                  <c:v>-1447.4403381833356</c:v>
                </c:pt>
                <c:pt idx="200">
                  <c:v>-1467.476247672111</c:v>
                </c:pt>
                <c:pt idx="201">
                  <c:v>-1453.489641625139</c:v>
                </c:pt>
                <c:pt idx="202">
                  <c:v>-1456.7647422146506</c:v>
                </c:pt>
                <c:pt idx="203">
                  <c:v>-1463.1993516081607</c:v>
                </c:pt>
                <c:pt idx="204">
                  <c:v>-1465.4341261280626</c:v>
                </c:pt>
                <c:pt idx="205">
                  <c:v>-1463.1993516081607</c:v>
                </c:pt>
                <c:pt idx="206">
                  <c:v>-1464.8946977956725</c:v>
                </c:pt>
                <c:pt idx="207">
                  <c:v>-1458.768333163528</c:v>
                </c:pt>
                <c:pt idx="208">
                  <c:v>-1463.3149433936728</c:v>
                </c:pt>
                <c:pt idx="209">
                  <c:v>-1471.8687355215734</c:v>
                </c:pt>
                <c:pt idx="210">
                  <c:v>-1481.1931395528875</c:v>
                </c:pt>
                <c:pt idx="211">
                  <c:v>-1535.2130339822399</c:v>
                </c:pt>
                <c:pt idx="212">
                  <c:v>-1522.0873289566796</c:v>
                </c:pt>
                <c:pt idx="213">
                  <c:v>-1493.9097058674495</c:v>
                </c:pt>
                <c:pt idx="214">
                  <c:v>-1500.7396971683352</c:v>
                </c:pt>
                <c:pt idx="215">
                  <c:v>-1503.3165695340524</c:v>
                </c:pt>
                <c:pt idx="216">
                  <c:v>-1517.3162940283955</c:v>
                </c:pt>
                <c:pt idx="217">
                  <c:v>-1544.8157528565705</c:v>
                </c:pt>
                <c:pt idx="218">
                  <c:v>-1611.1990618599666</c:v>
                </c:pt>
                <c:pt idx="219">
                  <c:v>-1671.9903417067155</c:v>
                </c:pt>
                <c:pt idx="220">
                  <c:v>-1661.5566441188732</c:v>
                </c:pt>
                <c:pt idx="221">
                  <c:v>-1608.6512035619344</c:v>
                </c:pt>
                <c:pt idx="222">
                  <c:v>-1613.9650198055563</c:v>
                </c:pt>
                <c:pt idx="223">
                  <c:v>-1585.6893114727061</c:v>
                </c:pt>
                <c:pt idx="224">
                  <c:v>-1609.1554343003802</c:v>
                </c:pt>
                <c:pt idx="225">
                  <c:v>-1625.209298201441</c:v>
                </c:pt>
                <c:pt idx="226">
                  <c:v>-1606.0290456163566</c:v>
                </c:pt>
                <c:pt idx="227">
                  <c:v>-1590.6540936443455</c:v>
                </c:pt>
                <c:pt idx="228">
                  <c:v>-1617.8293212548749</c:v>
                </c:pt>
                <c:pt idx="229">
                  <c:v>-1592.9218990602169</c:v>
                </c:pt>
                <c:pt idx="230">
                  <c:v>-1597.9571958310507</c:v>
                </c:pt>
                <c:pt idx="231">
                  <c:v>-1590.0006581855348</c:v>
                </c:pt>
                <c:pt idx="232">
                  <c:v>-1587.6559780098032</c:v>
                </c:pt>
                <c:pt idx="233">
                  <c:v>-1581.7750588805088</c:v>
                </c:pt>
                <c:pt idx="234">
                  <c:v>-1615.6383905988635</c:v>
                </c:pt>
                <c:pt idx="235">
                  <c:v>-1632.2433387286355</c:v>
                </c:pt>
                <c:pt idx="236">
                  <c:v>-1616.0227643981634</c:v>
                </c:pt>
                <c:pt idx="237">
                  <c:v>-1648.7714120985477</c:v>
                </c:pt>
                <c:pt idx="238">
                  <c:v>-1699.7393778857647</c:v>
                </c:pt>
                <c:pt idx="239">
                  <c:v>-1704.8515494164581</c:v>
                </c:pt>
                <c:pt idx="240">
                  <c:v>-1684.2491137739632</c:v>
                </c:pt>
                <c:pt idx="241">
                  <c:v>-1672.2566512357946</c:v>
                </c:pt>
                <c:pt idx="242">
                  <c:v>-1787.2612919864382</c:v>
                </c:pt>
                <c:pt idx="243">
                  <c:v>-1747.9398523180198</c:v>
                </c:pt>
                <c:pt idx="244">
                  <c:v>-1727.6833530948948</c:v>
                </c:pt>
                <c:pt idx="245">
                  <c:v>-1740.8289370309644</c:v>
                </c:pt>
                <c:pt idx="246">
                  <c:v>-1857.9476336777598</c:v>
                </c:pt>
                <c:pt idx="247">
                  <c:v>-1872.4385259113806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6-7F46-B645-FEB45BED739F}"/>
            </c:ext>
          </c:extLst>
        </c:ser>
        <c:ser>
          <c:idx val="1"/>
          <c:order val="1"/>
          <c:tx>
            <c:v>Rata kredytu złotowego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KALKULATOR!$BJ$5:$BJ$252</c:f>
              <c:numCache>
                <c:formatCode>#,##0.00</c:formatCode>
                <c:ptCount val="2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-2502.8868655905521</c:v>
                </c:pt>
                <c:pt idx="77">
                  <c:v>-2540.0469780305793</c:v>
                </c:pt>
                <c:pt idx="78">
                  <c:v>-2548.8044586687602</c:v>
                </c:pt>
                <c:pt idx="79">
                  <c:v>-2526.9542153344401</c:v>
                </c:pt>
                <c:pt idx="80">
                  <c:v>-2535.6767706260398</c:v>
                </c:pt>
                <c:pt idx="81">
                  <c:v>-2588.1411931738157</c:v>
                </c:pt>
                <c:pt idx="82">
                  <c:v>-2575.0100664532606</c:v>
                </c:pt>
                <c:pt idx="83">
                  <c:v>-2496.7516165785214</c:v>
                </c:pt>
                <c:pt idx="84">
                  <c:v>-2311.1292909922895</c:v>
                </c:pt>
                <c:pt idx="85">
                  <c:v>-2141.0556294687462</c:v>
                </c:pt>
                <c:pt idx="86">
                  <c:v>-2062.013811292541</c:v>
                </c:pt>
                <c:pt idx="87">
                  <c:v>-2041.9677514264185</c:v>
                </c:pt>
                <c:pt idx="88">
                  <c:v>-2106.2804345336176</c:v>
                </c:pt>
                <c:pt idx="89">
                  <c:v>-2122.4545554406905</c:v>
                </c:pt>
                <c:pt idx="90">
                  <c:v>-2054.1605075965435</c:v>
                </c:pt>
                <c:pt idx="91">
                  <c:v>-2034.2766427205213</c:v>
                </c:pt>
                <c:pt idx="92">
                  <c:v>-2038.2404291511384</c:v>
                </c:pt>
                <c:pt idx="93">
                  <c:v>-2038.2404291511389</c:v>
                </c:pt>
                <c:pt idx="94">
                  <c:v>-2040.2167285437995</c:v>
                </c:pt>
                <c:pt idx="95">
                  <c:v>-2048.1160982672177</c:v>
                </c:pt>
                <c:pt idx="96">
                  <c:v>-2050.0894753375755</c:v>
                </c:pt>
                <c:pt idx="97">
                  <c:v>-2036.3159157756847</c:v>
                </c:pt>
                <c:pt idx="98">
                  <c:v>-2028.4760920208087</c:v>
                </c:pt>
                <c:pt idx="99">
                  <c:v>-1987.5946848479025</c:v>
                </c:pt>
                <c:pt idx="100">
                  <c:v>-1974.0694730437835</c:v>
                </c:pt>
                <c:pt idx="101">
                  <c:v>-1975.9957264765105</c:v>
                </c:pt>
                <c:pt idx="102">
                  <c:v>-1972.1510944940462</c:v>
                </c:pt>
                <c:pt idx="103">
                  <c:v>-1966.400774642193</c:v>
                </c:pt>
                <c:pt idx="104">
                  <c:v>-1968.3131797344072</c:v>
                </c:pt>
                <c:pt idx="105">
                  <c:v>-1970.2227967750869</c:v>
                </c:pt>
                <c:pt idx="106">
                  <c:v>-1975.9456158879248</c:v>
                </c:pt>
                <c:pt idx="107">
                  <c:v>-1987.3908953110217</c:v>
                </c:pt>
                <c:pt idx="108">
                  <c:v>-2004.5790825157003</c:v>
                </c:pt>
                <c:pt idx="109">
                  <c:v>-2023.7145001611511</c:v>
                </c:pt>
                <c:pt idx="110">
                  <c:v>-2037.1296749367289</c:v>
                </c:pt>
                <c:pt idx="111">
                  <c:v>-2054.3999511413813</c:v>
                </c:pt>
                <c:pt idx="112">
                  <c:v>-2079.4062757929819</c:v>
                </c:pt>
                <c:pt idx="113">
                  <c:v>-2119.9887651307949</c:v>
                </c:pt>
                <c:pt idx="114">
                  <c:v>-2137.4471753489593</c:v>
                </c:pt>
                <c:pt idx="115">
                  <c:v>-2141.3276338055603</c:v>
                </c:pt>
                <c:pt idx="116">
                  <c:v>-2147.143042837653</c:v>
                </c:pt>
                <c:pt idx="117">
                  <c:v>-2156.831812253447</c:v>
                </c:pt>
                <c:pt idx="118">
                  <c:v>-2184.0038173429302</c:v>
                </c:pt>
                <c:pt idx="119">
                  <c:v>-2191.7781106840534</c:v>
                </c:pt>
                <c:pt idx="120">
                  <c:v>-2193.7198727204895</c:v>
                </c:pt>
                <c:pt idx="121">
                  <c:v>-2189.8441182530337</c:v>
                </c:pt>
                <c:pt idx="122">
                  <c:v>-2185.9782262088388</c:v>
                </c:pt>
                <c:pt idx="123">
                  <c:v>-2184.0498862595191</c:v>
                </c:pt>
                <c:pt idx="124">
                  <c:v>-2205.2596244137135</c:v>
                </c:pt>
                <c:pt idx="125">
                  <c:v>-2218.7743579233497</c:v>
                </c:pt>
                <c:pt idx="126">
                  <c:v>-2220.7041432960136</c:v>
                </c:pt>
                <c:pt idx="127">
                  <c:v>-2214.9275758628105</c:v>
                </c:pt>
                <c:pt idx="128">
                  <c:v>-2186.1897404871934</c:v>
                </c:pt>
                <c:pt idx="129">
                  <c:v>-2161.4546850169477</c:v>
                </c:pt>
                <c:pt idx="130">
                  <c:v>-2123.701649536169</c:v>
                </c:pt>
                <c:pt idx="131">
                  <c:v>-2056.5879925427416</c:v>
                </c:pt>
                <c:pt idx="132">
                  <c:v>-2014.2843039491149</c:v>
                </c:pt>
                <c:pt idx="133">
                  <c:v>-1972.4571961098568</c:v>
                </c:pt>
                <c:pt idx="134">
                  <c:v>-1915.045357552465</c:v>
                </c:pt>
                <c:pt idx="135">
                  <c:v>-1881.4008335046208</c:v>
                </c:pt>
                <c:pt idx="136">
                  <c:v>-1806.4640526395594</c:v>
                </c:pt>
                <c:pt idx="137">
                  <c:v>-1785.8605137310556</c:v>
                </c:pt>
                <c:pt idx="138">
                  <c:v>-1779.0345878934982</c:v>
                </c:pt>
                <c:pt idx="139">
                  <c:v>-1779.0345878934986</c:v>
                </c:pt>
                <c:pt idx="140">
                  <c:v>-1777.3383561159706</c:v>
                </c:pt>
                <c:pt idx="141">
                  <c:v>-1773.9565553301466</c:v>
                </c:pt>
                <c:pt idx="142">
                  <c:v>-1770.5862251863657</c:v>
                </c:pt>
                <c:pt idx="143">
                  <c:v>-1773.9482122646671</c:v>
                </c:pt>
                <c:pt idx="144">
                  <c:v>-1778.9845358348614</c:v>
                </c:pt>
                <c:pt idx="145">
                  <c:v>-1780.6606874776091</c:v>
                </c:pt>
                <c:pt idx="146">
                  <c:v>-1780.6606874776091</c:v>
                </c:pt>
                <c:pt idx="147">
                  <c:v>-1782.3292206343481</c:v>
                </c:pt>
                <c:pt idx="148">
                  <c:v>-1782.3292206343481</c:v>
                </c:pt>
                <c:pt idx="149">
                  <c:v>-1777.3511960147071</c:v>
                </c:pt>
                <c:pt idx="150">
                  <c:v>-1775.6976166622742</c:v>
                </c:pt>
                <c:pt idx="151">
                  <c:v>-1770.7541770230398</c:v>
                </c:pt>
                <c:pt idx="152">
                  <c:v>-1738.0582889556838</c:v>
                </c:pt>
                <c:pt idx="153">
                  <c:v>-1676.9461869702604</c:v>
                </c:pt>
                <c:pt idx="154">
                  <c:v>-1670.5958634514675</c:v>
                </c:pt>
                <c:pt idx="155">
                  <c:v>-1675.3444288128264</c:v>
                </c:pt>
                <c:pt idx="156">
                  <c:v>-1670.6088601055908</c:v>
                </c:pt>
                <c:pt idx="157">
                  <c:v>-1653.3523652199412</c:v>
                </c:pt>
                <c:pt idx="158">
                  <c:v>-1614.5903859648272</c:v>
                </c:pt>
                <c:pt idx="159">
                  <c:v>-1611.5191895108007</c:v>
                </c:pt>
                <c:pt idx="160">
                  <c:v>-1614.5815948532897</c:v>
                </c:pt>
                <c:pt idx="161">
                  <c:v>-1619.1677898788098</c:v>
                </c:pt>
                <c:pt idx="162">
                  <c:v>-1622.2202789464907</c:v>
                </c:pt>
                <c:pt idx="163">
                  <c:v>-1622.2202789464909</c:v>
                </c:pt>
                <c:pt idx="164">
                  <c:v>-1622.2202789464907</c:v>
                </c:pt>
                <c:pt idx="165">
                  <c:v>-1623.7344042703342</c:v>
                </c:pt>
                <c:pt idx="166">
                  <c:v>-1623.7344042703342</c:v>
                </c:pt>
                <c:pt idx="167">
                  <c:v>-1622.2291537887895</c:v>
                </c:pt>
                <c:pt idx="168">
                  <c:v>-1620.7290984826564</c:v>
                </c:pt>
                <c:pt idx="169">
                  <c:v>-1617.7401267353491</c:v>
                </c:pt>
                <c:pt idx="170">
                  <c:v>-1614.7630406215151</c:v>
                </c:pt>
                <c:pt idx="171">
                  <c:v>-1614.7630406215148</c:v>
                </c:pt>
                <c:pt idx="172">
                  <c:v>-1614.7630406215148</c:v>
                </c:pt>
                <c:pt idx="173">
                  <c:v>-1617.7131954648848</c:v>
                </c:pt>
                <c:pt idx="174">
                  <c:v>-1620.6572393817937</c:v>
                </c:pt>
                <c:pt idx="175">
                  <c:v>-1620.6572393817937</c:v>
                </c:pt>
                <c:pt idx="176">
                  <c:v>-1620.6572393817935</c:v>
                </c:pt>
                <c:pt idx="177">
                  <c:v>-1622.1167905553509</c:v>
                </c:pt>
                <c:pt idx="178">
                  <c:v>-1623.5725174261681</c:v>
                </c:pt>
                <c:pt idx="179">
                  <c:v>-1623.5725174261684</c:v>
                </c:pt>
                <c:pt idx="180">
                  <c:v>-1623.5725174261686</c:v>
                </c:pt>
                <c:pt idx="181">
                  <c:v>-1623.5725174261684</c:v>
                </c:pt>
                <c:pt idx="182">
                  <c:v>-1623.5725174261686</c:v>
                </c:pt>
                <c:pt idx="183">
                  <c:v>-1623.5725174261686</c:v>
                </c:pt>
                <c:pt idx="184">
                  <c:v>-1623.5725174261684</c:v>
                </c:pt>
                <c:pt idx="185">
                  <c:v>-1623.5725174261688</c:v>
                </c:pt>
                <c:pt idx="186">
                  <c:v>-1623.5725174261681</c:v>
                </c:pt>
                <c:pt idx="187">
                  <c:v>-1623.5725174261686</c:v>
                </c:pt>
                <c:pt idx="188">
                  <c:v>-1623.5725174261684</c:v>
                </c:pt>
                <c:pt idx="189">
                  <c:v>-1623.5725174261686</c:v>
                </c:pt>
                <c:pt idx="190">
                  <c:v>-1623.5725174261684</c:v>
                </c:pt>
                <c:pt idx="191">
                  <c:v>-1622.1763862635419</c:v>
                </c:pt>
                <c:pt idx="192">
                  <c:v>-1622.1763862635419</c:v>
                </c:pt>
                <c:pt idx="193">
                  <c:v>-1622.1763862635419</c:v>
                </c:pt>
                <c:pt idx="194">
                  <c:v>-1620.7948566985028</c:v>
                </c:pt>
                <c:pt idx="195">
                  <c:v>-1619.4186363801596</c:v>
                </c:pt>
                <c:pt idx="196">
                  <c:v>-1619.4186363801596</c:v>
                </c:pt>
                <c:pt idx="197">
                  <c:v>-1619.4186363801598</c:v>
                </c:pt>
                <c:pt idx="198">
                  <c:v>-1619.4186363801596</c:v>
                </c:pt>
                <c:pt idx="199">
                  <c:v>-1619.4186363801598</c:v>
                </c:pt>
                <c:pt idx="200">
                  <c:v>-1622.1247674223534</c:v>
                </c:pt>
                <c:pt idx="201">
                  <c:v>-1622.124767422353</c:v>
                </c:pt>
                <c:pt idx="202">
                  <c:v>-1622.124767422353</c:v>
                </c:pt>
                <c:pt idx="203">
                  <c:v>-1622.124767422353</c:v>
                </c:pt>
                <c:pt idx="204">
                  <c:v>-1622.1247674223532</c:v>
                </c:pt>
                <c:pt idx="205">
                  <c:v>-1622.1247674223528</c:v>
                </c:pt>
                <c:pt idx="206">
                  <c:v>-1622.124767422353</c:v>
                </c:pt>
                <c:pt idx="207">
                  <c:v>-1622.124767422353</c:v>
                </c:pt>
                <c:pt idx="208">
                  <c:v>-1622.124767422353</c:v>
                </c:pt>
                <c:pt idx="209">
                  <c:v>-1622.1247674223528</c:v>
                </c:pt>
                <c:pt idx="210">
                  <c:v>-1622.124767422353</c:v>
                </c:pt>
                <c:pt idx="211">
                  <c:v>-1622.1247674223532</c:v>
                </c:pt>
                <c:pt idx="212">
                  <c:v>-1622.124767422353</c:v>
                </c:pt>
                <c:pt idx="213">
                  <c:v>-1622.1247674223528</c:v>
                </c:pt>
                <c:pt idx="214">
                  <c:v>-1620.8381144794546</c:v>
                </c:pt>
                <c:pt idx="215">
                  <c:v>-1619.5568570323574</c:v>
                </c:pt>
                <c:pt idx="216">
                  <c:v>-1620.8332754368691</c:v>
                </c:pt>
                <c:pt idx="217">
                  <c:v>-1620.8332754368694</c:v>
                </c:pt>
                <c:pt idx="218">
                  <c:v>-1588.0787909583166</c:v>
                </c:pt>
                <c:pt idx="219">
                  <c:v>-1511.7925701687254</c:v>
                </c:pt>
                <c:pt idx="220">
                  <c:v>-1491.3342381307634</c:v>
                </c:pt>
                <c:pt idx="221">
                  <c:v>-1445.2012255551667</c:v>
                </c:pt>
                <c:pt idx="222">
                  <c:v>-1442.8681251162279</c:v>
                </c:pt>
                <c:pt idx="223">
                  <c:v>-1440.5469586761228</c:v>
                </c:pt>
                <c:pt idx="224">
                  <c:v>-1440.5469586761226</c:v>
                </c:pt>
                <c:pt idx="225">
                  <c:v>-1439.3969251005669</c:v>
                </c:pt>
                <c:pt idx="226">
                  <c:v>-1439.3969251005669</c:v>
                </c:pt>
                <c:pt idx="227">
                  <c:v>-1438.2571752774793</c:v>
                </c:pt>
                <c:pt idx="228">
                  <c:v>-1438.2571752774791</c:v>
                </c:pt>
                <c:pt idx="229">
                  <c:v>-1438.2571752774791</c:v>
                </c:pt>
                <c:pt idx="230">
                  <c:v>-1438.2571752774793</c:v>
                </c:pt>
                <c:pt idx="231">
                  <c:v>-1438.2571752774793</c:v>
                </c:pt>
                <c:pt idx="232">
                  <c:v>-1438.2571752774791</c:v>
                </c:pt>
                <c:pt idx="233">
                  <c:v>-1438.2571752774791</c:v>
                </c:pt>
                <c:pt idx="234">
                  <c:v>-1438.2571752774793</c:v>
                </c:pt>
                <c:pt idx="235">
                  <c:v>-1438.2571752774791</c:v>
                </c:pt>
                <c:pt idx="236">
                  <c:v>-1441.5455871832128</c:v>
                </c:pt>
                <c:pt idx="237">
                  <c:v>-1482.285510302022</c:v>
                </c:pt>
                <c:pt idx="238">
                  <c:v>-1592.9172617517352</c:v>
                </c:pt>
                <c:pt idx="239">
                  <c:v>-1680.2904734990627</c:v>
                </c:pt>
                <c:pt idx="240">
                  <c:v>-1700.3730683540209</c:v>
                </c:pt>
                <c:pt idx="241">
                  <c:v>-1798.782417209836</c:v>
                </c:pt>
                <c:pt idx="242">
                  <c:v>-1914.1686581483873</c:v>
                </c:pt>
                <c:pt idx="243">
                  <c:v>-2068.4026846487795</c:v>
                </c:pt>
                <c:pt idx="244">
                  <c:v>-2191.6782774054309</c:v>
                </c:pt>
                <c:pt idx="245">
                  <c:v>-2248.9648242932235</c:v>
                </c:pt>
                <c:pt idx="246">
                  <c:v>-2275.7483231367023</c:v>
                </c:pt>
                <c:pt idx="247">
                  <c:v>-2275.7483231367023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6-7F46-B645-FEB45BED7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443024"/>
        <c:axId val="1588513632"/>
      </c:lineChart>
      <c:dateAx>
        <c:axId val="1855443024"/>
        <c:scaling>
          <c:orientation val="minMax"/>
        </c:scaling>
        <c:delete val="0"/>
        <c:axPos val="t"/>
        <c:numFmt formatCode="[$-415]mmm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88513632"/>
        <c:crosses val="autoZero"/>
        <c:auto val="1"/>
        <c:lblOffset val="100"/>
        <c:baseTimeUnit val="days"/>
      </c:dateAx>
      <c:valAx>
        <c:axId val="15885136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44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7363638774647061"/>
          <c:y val="0.11774577686698855"/>
          <c:w val="0.2811074187941095"/>
          <c:h val="0.16882950759596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8966CD-D6A2-AA42-9D91-E2D7DCFF7B1C}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AEC7C63A-D210-4B25-2E14-9E318CC021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image" Target="../media/image1.jpeg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.gov.pl/obszary-tematyczne/ceny-handel/wskazniki-cen/wskazniki-cen-towarow-i-uslug-konsumpcyjnych-pot-inflacja-/miesieczne-wskazniki-cen-towarow-i-uslug-konsumpcyjnych-od-1982-roku/" TargetMode="External"/><Relationship Id="rId2" Type="http://schemas.openxmlformats.org/officeDocument/2006/relationships/hyperlink" Target="https://www.mbank.pl/indywidualny/kredyty/kredyty-hipoteczne/mam-kredyt-hipoteczny/" TargetMode="External"/><Relationship Id="rId1" Type="http://schemas.openxmlformats.org/officeDocument/2006/relationships/hyperlink" Target="https://www.knf.gov.pl/dla_rynku/sad_polubowny_przy_KNF/mediacja/marza?articleId=72862&amp;p_id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E0E1-D6C6-4334-A5DC-AD411A435304}">
  <dimension ref="A3:AB44"/>
  <sheetViews>
    <sheetView tabSelected="1" topLeftCell="B11" zoomScale="80" zoomScaleNormal="80" workbookViewId="0">
      <selection activeCell="F26" sqref="F26"/>
    </sheetView>
  </sheetViews>
  <sheetFormatPr defaultColWidth="9" defaultRowHeight="15"/>
  <cols>
    <col min="1" max="1" width="9" style="136"/>
    <col min="2" max="2" width="6.58203125" style="136" customWidth="1"/>
    <col min="3" max="3" width="18.5" style="136" customWidth="1"/>
    <col min="4" max="4" width="9" style="136" customWidth="1"/>
    <col min="5" max="5" width="33.58203125" style="136" customWidth="1"/>
    <col min="6" max="6" width="19.08203125" style="136" customWidth="1"/>
    <col min="7" max="10" width="9" style="136"/>
    <col min="11" max="11" width="8.33203125" style="136" customWidth="1"/>
    <col min="12" max="12" width="13.25" style="136" customWidth="1"/>
    <col min="13" max="13" width="19.58203125" style="136" customWidth="1"/>
    <col min="14" max="14" width="20" style="136" customWidth="1"/>
    <col min="15" max="25" width="9" style="136"/>
    <col min="26" max="26" width="11.25" style="136" customWidth="1"/>
    <col min="27" max="16384" width="9" style="136"/>
  </cols>
  <sheetData>
    <row r="3" spans="1:28" ht="15.75" customHeight="1">
      <c r="A3" s="180" t="s">
        <v>101</v>
      </c>
      <c r="B3" s="180"/>
      <c r="C3" s="180"/>
      <c r="D3" s="180"/>
      <c r="E3" s="180"/>
      <c r="F3" s="180"/>
      <c r="G3" s="180"/>
      <c r="H3" s="135"/>
      <c r="I3" s="135"/>
      <c r="J3" s="181" t="s">
        <v>102</v>
      </c>
      <c r="K3" s="181"/>
      <c r="L3" s="181"/>
      <c r="M3" s="181"/>
      <c r="N3" s="181"/>
      <c r="O3" s="181"/>
      <c r="P3" s="181"/>
      <c r="Q3" s="181"/>
      <c r="Y3" s="137" t="s">
        <v>90</v>
      </c>
      <c r="Z3" s="138">
        <v>45231</v>
      </c>
      <c r="AA3" s="137"/>
      <c r="AB3" s="139">
        <f>VLOOKUP(Z3,Kursy,VLOOKUP(F11,waluta,2))</f>
        <v>4.5707000000000004</v>
      </c>
    </row>
    <row r="4" spans="1:28" ht="15.75" customHeight="1">
      <c r="A4" s="180"/>
      <c r="B4" s="180"/>
      <c r="C4" s="180"/>
      <c r="D4" s="180"/>
      <c r="E4" s="180"/>
      <c r="F4" s="180"/>
      <c r="G4" s="180"/>
      <c r="H4" s="135"/>
      <c r="I4" s="135"/>
      <c r="J4" s="181"/>
      <c r="K4" s="181"/>
      <c r="L4" s="181"/>
      <c r="M4" s="181"/>
      <c r="N4" s="181"/>
      <c r="O4" s="181"/>
      <c r="P4" s="181"/>
      <c r="Q4" s="181"/>
    </row>
    <row r="5" spans="1:28" ht="15.75" customHeight="1">
      <c r="A5" s="180"/>
      <c r="B5" s="180"/>
      <c r="C5" s="180"/>
      <c r="D5" s="180"/>
      <c r="E5" s="180"/>
      <c r="F5" s="180"/>
      <c r="G5" s="180"/>
      <c r="H5" s="135"/>
      <c r="I5" s="135"/>
      <c r="J5" s="181"/>
      <c r="K5" s="181"/>
      <c r="L5" s="181"/>
      <c r="M5" s="181"/>
      <c r="N5" s="181"/>
      <c r="O5" s="181"/>
      <c r="P5" s="181"/>
      <c r="Q5" s="181"/>
    </row>
    <row r="7" spans="1:28" ht="15.5" thickBot="1"/>
    <row r="8" spans="1:28" ht="18" thickTop="1">
      <c r="C8" s="182" t="s">
        <v>0</v>
      </c>
      <c r="D8" s="183"/>
      <c r="E8" s="183"/>
      <c r="F8" s="163">
        <v>300000</v>
      </c>
      <c r="K8" s="186" t="s">
        <v>103</v>
      </c>
      <c r="L8" s="187"/>
      <c r="M8" s="140" t="s">
        <v>48</v>
      </c>
      <c r="N8" s="141" t="s">
        <v>109</v>
      </c>
    </row>
    <row r="9" spans="1:28" ht="17.5">
      <c r="C9" s="176" t="s">
        <v>1</v>
      </c>
      <c r="D9" s="177"/>
      <c r="E9" s="177"/>
      <c r="F9" s="164">
        <v>39545</v>
      </c>
      <c r="K9" s="188">
        <v>1</v>
      </c>
      <c r="L9" s="189"/>
      <c r="M9" s="172"/>
      <c r="N9" s="173"/>
    </row>
    <row r="10" spans="1:28" ht="24" customHeight="1" thickBot="1">
      <c r="C10" s="178" t="s">
        <v>112</v>
      </c>
      <c r="D10" s="179"/>
      <c r="E10" s="179"/>
      <c r="F10" s="165">
        <v>2400</v>
      </c>
      <c r="K10" s="188">
        <f t="shared" ref="K10:K18" si="0">K9+1</f>
        <v>2</v>
      </c>
      <c r="L10" s="189"/>
      <c r="M10" s="172"/>
      <c r="N10" s="173"/>
    </row>
    <row r="11" spans="1:28" ht="34.5" customHeight="1" thickTop="1">
      <c r="C11" s="176" t="s">
        <v>85</v>
      </c>
      <c r="D11" s="177"/>
      <c r="E11" s="177"/>
      <c r="F11" s="166" t="s">
        <v>7</v>
      </c>
      <c r="K11" s="188">
        <f t="shared" si="0"/>
        <v>3</v>
      </c>
      <c r="L11" s="189"/>
      <c r="M11" s="172"/>
      <c r="N11" s="173"/>
    </row>
    <row r="12" spans="1:28" ht="17.5">
      <c r="C12" s="176" t="s">
        <v>15</v>
      </c>
      <c r="D12" s="177"/>
      <c r="E12" s="177"/>
      <c r="F12" s="167">
        <v>0.03</v>
      </c>
      <c r="K12" s="188">
        <f t="shared" si="0"/>
        <v>4</v>
      </c>
      <c r="L12" s="189"/>
      <c r="M12" s="172"/>
      <c r="N12" s="173"/>
    </row>
    <row r="13" spans="1:28" ht="17.5">
      <c r="C13" s="176" t="s">
        <v>2</v>
      </c>
      <c r="D13" s="177"/>
      <c r="E13" s="177"/>
      <c r="F13" s="166">
        <v>360</v>
      </c>
      <c r="K13" s="188">
        <f t="shared" si="0"/>
        <v>5</v>
      </c>
      <c r="L13" s="189"/>
      <c r="M13" s="172"/>
      <c r="N13" s="173"/>
    </row>
    <row r="14" spans="1:28" ht="17.5">
      <c r="C14" s="176" t="s">
        <v>92</v>
      </c>
      <c r="D14" s="177"/>
      <c r="E14" s="177"/>
      <c r="F14" s="166" t="s">
        <v>37</v>
      </c>
      <c r="K14" s="188">
        <f t="shared" si="0"/>
        <v>6</v>
      </c>
      <c r="L14" s="189"/>
      <c r="M14" s="172"/>
      <c r="N14" s="173"/>
    </row>
    <row r="15" spans="1:28" ht="39" customHeight="1">
      <c r="C15" s="195" t="s">
        <v>86</v>
      </c>
      <c r="D15" s="196"/>
      <c r="E15" s="196"/>
      <c r="F15" s="164">
        <v>39717</v>
      </c>
      <c r="K15" s="188">
        <f t="shared" si="0"/>
        <v>7</v>
      </c>
      <c r="L15" s="189"/>
      <c r="M15" s="172"/>
      <c r="N15" s="173"/>
    </row>
    <row r="16" spans="1:28" ht="17.5">
      <c r="C16" s="176" t="s">
        <v>91</v>
      </c>
      <c r="D16" s="177"/>
      <c r="E16" s="177"/>
      <c r="F16" s="166">
        <v>0</v>
      </c>
      <c r="K16" s="188">
        <f t="shared" si="0"/>
        <v>8</v>
      </c>
      <c r="L16" s="189"/>
      <c r="M16" s="172"/>
      <c r="N16" s="173"/>
    </row>
    <row r="17" spans="1:14" ht="39" customHeight="1">
      <c r="C17" s="195" t="str">
        <f>"Przyjęta przez bank równowartość kredytu w "&amp;F11</f>
        <v>Przyjęta przez bank równowartość kredytu w CHF</v>
      </c>
      <c r="D17" s="196"/>
      <c r="E17" s="196"/>
      <c r="F17" s="168">
        <v>95134.46</v>
      </c>
      <c r="K17" s="188">
        <f t="shared" si="0"/>
        <v>9</v>
      </c>
      <c r="L17" s="189"/>
      <c r="M17" s="172"/>
      <c r="N17" s="173"/>
    </row>
    <row r="18" spans="1:14" ht="18" thickBot="1">
      <c r="C18" s="197" t="str">
        <f>"Kurs kupna "&amp;F11&amp;" banku z miesiąca udzielenia kredytu"</f>
        <v>Kurs kupna CHF banku z miesiąca udzielenia kredytu</v>
      </c>
      <c r="D18" s="198"/>
      <c r="E18" s="198"/>
      <c r="F18" s="169">
        <v>2.1111</v>
      </c>
      <c r="K18" s="184">
        <f t="shared" si="0"/>
        <v>10</v>
      </c>
      <c r="L18" s="185"/>
      <c r="M18" s="174"/>
      <c r="N18" s="175"/>
    </row>
    <row r="19" spans="1:14" ht="18" thickTop="1">
      <c r="C19" s="199" t="s">
        <v>105</v>
      </c>
      <c r="D19" s="200"/>
      <c r="E19" s="200"/>
      <c r="F19" s="170"/>
    </row>
    <row r="20" spans="1:14" ht="18" thickBot="1">
      <c r="C20" s="193" t="s">
        <v>111</v>
      </c>
      <c r="D20" s="194"/>
      <c r="E20" s="194"/>
      <c r="F20" s="171"/>
    </row>
    <row r="21" spans="1:14" ht="15.5" thickTop="1"/>
    <row r="23" spans="1:14">
      <c r="A23" s="180" t="s">
        <v>106</v>
      </c>
      <c r="B23" s="180"/>
      <c r="C23" s="180"/>
      <c r="D23" s="180"/>
      <c r="E23" s="180"/>
      <c r="F23" s="180"/>
      <c r="G23" s="180"/>
    </row>
    <row r="24" spans="1:14">
      <c r="A24" s="180"/>
      <c r="B24" s="180"/>
      <c r="C24" s="180"/>
      <c r="D24" s="180"/>
      <c r="E24" s="180"/>
      <c r="F24" s="180"/>
      <c r="G24" s="180"/>
    </row>
    <row r="25" spans="1:14" ht="15.5" thickBot="1">
      <c r="A25" s="180"/>
      <c r="B25" s="180"/>
      <c r="C25" s="180"/>
      <c r="D25" s="180"/>
      <c r="E25" s="180"/>
      <c r="F25" s="180"/>
      <c r="G25" s="180"/>
    </row>
    <row r="26" spans="1:14" ht="35.25" customHeight="1" thickTop="1" thickBot="1">
      <c r="A26" s="142"/>
      <c r="B26" s="142"/>
      <c r="C26" s="142"/>
      <c r="D26" s="142"/>
      <c r="E26" s="142"/>
      <c r="F26" s="142"/>
      <c r="G26" s="142"/>
      <c r="I26" s="190" t="s">
        <v>87</v>
      </c>
      <c r="J26" s="191"/>
      <c r="K26" s="191"/>
      <c r="L26" s="191"/>
      <c r="M26" s="192"/>
    </row>
    <row r="27" spans="1:14" ht="46.5" customHeight="1" thickTop="1">
      <c r="C27" s="143"/>
      <c r="D27" s="144" t="s">
        <v>97</v>
      </c>
      <c r="E27" s="145" t="s">
        <v>98</v>
      </c>
      <c r="I27" s="146"/>
      <c r="J27" s="147"/>
      <c r="K27" s="148"/>
      <c r="L27" s="149" t="s">
        <v>97</v>
      </c>
      <c r="M27" s="150" t="s">
        <v>104</v>
      </c>
    </row>
    <row r="28" spans="1:14" ht="63" customHeight="1">
      <c r="C28" s="151" t="s">
        <v>94</v>
      </c>
      <c r="D28" s="152" t="s">
        <v>8</v>
      </c>
      <c r="E28" s="153">
        <f>IF(F19&gt;0,,IF(F14="równe",-1*KALKULATOR!F270,KALKULATOR!AO270))</f>
        <v>2091.2341404309332</v>
      </c>
      <c r="I28" s="202" t="s">
        <v>88</v>
      </c>
      <c r="J28" s="203"/>
      <c r="K28" s="204"/>
      <c r="L28" s="154" t="s">
        <v>8</v>
      </c>
      <c r="M28" s="155">
        <f>F8</f>
        <v>300000</v>
      </c>
    </row>
    <row r="29" spans="1:14" ht="63" customHeight="1">
      <c r="C29" s="151" t="s">
        <v>94</v>
      </c>
      <c r="D29" s="152" t="str">
        <f>F11</f>
        <v>CHF</v>
      </c>
      <c r="E29" s="153">
        <f>IF(F19&gt;0,,IF(F14="równe",-1*KALKULATOR!E267,KALKULATOR!AJ267))</f>
        <v>443.63160603622146</v>
      </c>
      <c r="I29" s="202" t="s">
        <v>99</v>
      </c>
      <c r="J29" s="203"/>
      <c r="K29" s="204"/>
      <c r="L29" s="154" t="s">
        <v>8</v>
      </c>
      <c r="M29" s="155">
        <f>KALKULATOR!AD2</f>
        <v>5950.233671860552</v>
      </c>
    </row>
    <row r="30" spans="1:14" ht="49.5" customHeight="1">
      <c r="C30" s="151" t="s">
        <v>95</v>
      </c>
      <c r="D30" s="152" t="s">
        <v>8</v>
      </c>
      <c r="E30" s="153">
        <f>IF(F19&gt;0,,IF(F14="równe",KALKULATOR!N270*KALKULATOR!D270,KALKULATOR!AG270*KALKULATOR!D270))</f>
        <v>260071.89551331624</v>
      </c>
      <c r="I30" s="202" t="s">
        <v>108</v>
      </c>
      <c r="J30" s="203"/>
      <c r="K30" s="204"/>
      <c r="L30" s="154" t="str">
        <f>F11</f>
        <v>CHF</v>
      </c>
      <c r="M30" s="155">
        <f>KALKULATOR!AE$2</f>
        <v>75809.42208997265</v>
      </c>
    </row>
    <row r="31" spans="1:14" ht="51.75" customHeight="1">
      <c r="C31" s="151" t="s">
        <v>95</v>
      </c>
      <c r="D31" s="152" t="str">
        <f>F11</f>
        <v>CHF</v>
      </c>
      <c r="E31" s="153">
        <f>IF(F19&gt;0,,IF(F14="równe",KALKULATOR!N270,KALKULATOR!AG270))</f>
        <v>55171.303136664435</v>
      </c>
      <c r="I31" s="202" t="s">
        <v>89</v>
      </c>
      <c r="J31" s="203"/>
      <c r="K31" s="204"/>
      <c r="L31" s="154" t="s">
        <v>8</v>
      </c>
      <c r="M31" s="155">
        <f>M30*AB3</f>
        <v>346502.12554663804</v>
      </c>
    </row>
    <row r="32" spans="1:14" ht="48" customHeight="1" thickBot="1">
      <c r="C32" s="156" t="s">
        <v>96</v>
      </c>
      <c r="D32" s="157" t="s">
        <v>8</v>
      </c>
      <c r="E32" s="158">
        <f>IF(F14="równe",-1*KALKULATOR!F2,KALKULATOR!AK2)</f>
        <v>299562.50322400627</v>
      </c>
      <c r="I32" s="202" t="s">
        <v>113</v>
      </c>
      <c r="J32" s="203"/>
      <c r="K32" s="204"/>
      <c r="L32" s="154" t="s">
        <v>8</v>
      </c>
      <c r="M32" s="159">
        <f>M29+M31</f>
        <v>352452.35921849858</v>
      </c>
    </row>
    <row r="33" spans="3:13" ht="51" customHeight="1" thickTop="1">
      <c r="I33" s="202" t="s">
        <v>110</v>
      </c>
      <c r="J33" s="203"/>
      <c r="K33" s="204"/>
      <c r="L33" s="154" t="s">
        <v>8</v>
      </c>
      <c r="M33" s="159">
        <f>M28-M32</f>
        <v>-52452.359218498576</v>
      </c>
    </row>
    <row r="34" spans="3:13" ht="64.5" customHeight="1" thickBot="1">
      <c r="I34" s="205" t="s">
        <v>100</v>
      </c>
      <c r="J34" s="206"/>
      <c r="K34" s="207"/>
      <c r="L34" s="160" t="s">
        <v>8</v>
      </c>
      <c r="M34" s="161">
        <f>E30-M33+F10+F20</f>
        <v>314924.25473181484</v>
      </c>
    </row>
    <row r="35" spans="3:13" ht="15.5" thickTop="1"/>
    <row r="41" spans="3:13" ht="15.75" customHeight="1">
      <c r="C41" s="201" t="s">
        <v>107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3:13"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3:13"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3:13">
      <c r="I44" s="162"/>
      <c r="J44" s="162"/>
      <c r="K44" s="162"/>
      <c r="L44" s="162"/>
      <c r="M44" s="162"/>
    </row>
  </sheetData>
  <sheetProtection algorithmName="SHA-512" hashValue="6imXHlN46G2XpDYKuf6BrYIKw8MZyX6oa44+n5Uc8Px5sFXkEpR5bl2mVQ/nkUXQlL2g4kyX/O5UYyol64ZGQA==" saltValue="DHB8HqkOzQcxuJn2Xmhw7g==" spinCount="100000" sheet="1" objects="1" scenarios="1"/>
  <mergeCells count="36">
    <mergeCell ref="C41:M43"/>
    <mergeCell ref="I28:K28"/>
    <mergeCell ref="I29:K29"/>
    <mergeCell ref="I30:K30"/>
    <mergeCell ref="I31:K31"/>
    <mergeCell ref="I32:K32"/>
    <mergeCell ref="I33:K33"/>
    <mergeCell ref="I34:K34"/>
    <mergeCell ref="K15:L15"/>
    <mergeCell ref="I26:M26"/>
    <mergeCell ref="C20:E20"/>
    <mergeCell ref="C11:E11"/>
    <mergeCell ref="C13:E13"/>
    <mergeCell ref="C17:E17"/>
    <mergeCell ref="C18:E18"/>
    <mergeCell ref="C19:E19"/>
    <mergeCell ref="C15:E15"/>
    <mergeCell ref="C14:E14"/>
    <mergeCell ref="K16:L16"/>
    <mergeCell ref="K17:L17"/>
    <mergeCell ref="C9:E9"/>
    <mergeCell ref="C10:E10"/>
    <mergeCell ref="C16:E16"/>
    <mergeCell ref="A23:G25"/>
    <mergeCell ref="J3:Q5"/>
    <mergeCell ref="A3:G5"/>
    <mergeCell ref="C8:E8"/>
    <mergeCell ref="C12:E12"/>
    <mergeCell ref="K18:L18"/>
    <mergeCell ref="K8:L8"/>
    <mergeCell ref="K9:L9"/>
    <mergeCell ref="K10:L10"/>
    <mergeCell ref="K11:L11"/>
    <mergeCell ref="K12:L12"/>
    <mergeCell ref="K13:L13"/>
    <mergeCell ref="K14:L14"/>
  </mergeCells>
  <dataValidations count="1">
    <dataValidation type="list" allowBlank="1" showInputMessage="1" showErrorMessage="1" sqref="F14" xr:uid="{6A785970-AF2D-4F4A-B056-A7A6537A9AF5}">
      <formula1>"równe, malejące"</formula1>
    </dataValidation>
  </dataValidations>
  <pageMargins left="0.7" right="0.7" top="0.75" bottom="0.75" header="0.3" footer="0.3"/>
  <legacyDrawing r:id="rId1"/>
  <picture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A10B98-D934-4F01-89A0-69769961ED02}">
          <x14:formula1>
            <xm:f>Dane!$N$2:$N$4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61B2F-D232-4929-99DB-1D7FFBD3FB1F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CN285"/>
  <sheetViews>
    <sheetView workbookViewId="0">
      <pane xSplit="2" ySplit="4" topLeftCell="C266" activePane="bottomRight" state="frozen"/>
      <selection pane="topRight" activeCell="C1" sqref="C1"/>
      <selection pane="bottomLeft" activeCell="A5" sqref="A5"/>
      <selection pane="bottomRight" activeCell="E281" sqref="E281"/>
    </sheetView>
  </sheetViews>
  <sheetFormatPr defaultColWidth="8.83203125" defaultRowHeight="15.5"/>
  <cols>
    <col min="1" max="1" width="8.08203125" style="15" customWidth="1"/>
    <col min="2" max="2" width="9" style="16" customWidth="1"/>
    <col min="3" max="3" width="21.33203125" style="15" customWidth="1"/>
    <col min="4" max="4" width="31.08203125" style="15" customWidth="1"/>
    <col min="5" max="5" width="17.5" style="15" customWidth="1"/>
    <col min="6" max="6" width="17.83203125" style="15" customWidth="1"/>
    <col min="7" max="7" width="14.58203125" style="15" customWidth="1"/>
    <col min="8" max="8" width="13.58203125" style="15" customWidth="1"/>
    <col min="9" max="9" width="13.5" style="15" customWidth="1"/>
    <col min="10" max="10" width="14.58203125" style="15" customWidth="1"/>
    <col min="11" max="11" width="14.08203125" style="15" customWidth="1"/>
    <col min="12" max="12" width="26.33203125" style="74" customWidth="1"/>
    <col min="13" max="13" width="16.58203125" style="74" customWidth="1"/>
    <col min="14" max="15" width="14.08203125" style="74" customWidth="1"/>
    <col min="16" max="16" width="14.08203125" style="94" customWidth="1"/>
    <col min="17" max="17" width="10.83203125" style="94" customWidth="1"/>
    <col min="18" max="19" width="14.08203125" style="95" customWidth="1"/>
    <col min="20" max="22" width="14.08203125" style="96" customWidth="1"/>
    <col min="23" max="24" width="14.08203125" style="75" customWidth="1"/>
    <col min="25" max="25" width="15.5" style="75" customWidth="1"/>
    <col min="26" max="26" width="15" style="75" customWidth="1"/>
    <col min="27" max="27" width="14.33203125" style="75" customWidth="1"/>
    <col min="28" max="29" width="8" style="74" customWidth="1"/>
    <col min="30" max="30" width="10.08203125" style="75" customWidth="1"/>
    <col min="31" max="31" width="10.33203125" style="75" customWidth="1"/>
    <col min="32" max="32" width="8.83203125" style="15" customWidth="1"/>
    <col min="33" max="33" width="14.58203125" style="22" customWidth="1"/>
    <col min="34" max="34" width="9.5" style="22" customWidth="1"/>
    <col min="35" max="35" width="9" style="22" customWidth="1"/>
    <col min="36" max="36" width="11.08203125" style="22" customWidth="1"/>
    <col min="37" max="37" width="14.33203125" style="22" customWidth="1"/>
    <col min="38" max="38" width="10.33203125" style="22" customWidth="1"/>
    <col min="39" max="40" width="9" style="22" customWidth="1"/>
    <col min="41" max="41" width="12.33203125" style="22" customWidth="1"/>
    <col min="42" max="42" width="11.5" style="15" customWidth="1"/>
    <col min="43" max="43" width="8.83203125" style="15" customWidth="1"/>
    <col min="44" max="44" width="12" style="15" customWidth="1"/>
    <col min="45" max="46" width="10.08203125" style="15" customWidth="1"/>
    <col min="47" max="47" width="13" style="15" customWidth="1"/>
    <col min="48" max="48" width="10.08203125" style="15" customWidth="1"/>
    <col min="49" max="49" width="11.33203125" style="15" customWidth="1"/>
    <col min="50" max="50" width="8.83203125" style="15" customWidth="1"/>
    <col min="51" max="51" width="10.33203125" style="23" customWidth="1"/>
    <col min="52" max="55" width="10.83203125" style="23" customWidth="1"/>
    <col min="56" max="56" width="8.83203125" style="15" customWidth="1"/>
    <col min="57" max="58" width="8.83203125" style="15"/>
    <col min="59" max="59" width="10.33203125" style="15" customWidth="1"/>
    <col min="60" max="60" width="11.5" style="22" customWidth="1"/>
    <col min="61" max="61" width="10.58203125" style="22" customWidth="1"/>
    <col min="62" max="62" width="10.5" style="22" customWidth="1"/>
    <col min="63" max="64" width="8.83203125" style="15"/>
    <col min="65" max="67" width="10.83203125" style="15" bestFit="1" customWidth="1"/>
    <col min="68" max="68" width="8.83203125" style="15"/>
    <col min="69" max="69" width="10.75" style="15" bestFit="1" customWidth="1"/>
    <col min="70" max="70" width="11.5" style="15" customWidth="1"/>
    <col min="71" max="71" width="12.08203125" style="15" customWidth="1"/>
    <col min="72" max="72" width="12.33203125" style="15" customWidth="1"/>
    <col min="73" max="73" width="11.83203125" style="15" customWidth="1"/>
    <col min="74" max="76" width="8.83203125" style="15"/>
    <col min="77" max="77" width="11.33203125" style="15" customWidth="1"/>
    <col min="78" max="78" width="12" style="15" customWidth="1"/>
    <col min="79" max="79" width="11.83203125" style="15" customWidth="1"/>
    <col min="80" max="81" width="8.83203125" style="15"/>
    <col min="82" max="82" width="12" style="22" customWidth="1"/>
    <col min="83" max="83" width="11.08203125" style="22" customWidth="1"/>
    <col min="84" max="84" width="11.5" style="22" customWidth="1"/>
    <col min="85" max="85" width="12" style="22" customWidth="1"/>
    <col min="86" max="86" width="8.83203125" style="15"/>
    <col min="87" max="87" width="14.83203125" style="15" customWidth="1"/>
    <col min="88" max="88" width="12.5" style="15" customWidth="1"/>
    <col min="89" max="89" width="12.58203125" style="15" customWidth="1"/>
    <col min="90" max="90" width="8.83203125" style="15"/>
    <col min="91" max="91" width="11" style="15" customWidth="1"/>
    <col min="92" max="92" width="10.08203125" style="15" customWidth="1"/>
    <col min="93" max="16384" width="8.83203125" style="15"/>
  </cols>
  <sheetData>
    <row r="1" spans="1:92" s="1" customFormat="1" ht="24" customHeight="1">
      <c r="B1" s="2"/>
      <c r="C1" s="3"/>
      <c r="D1" s="4"/>
      <c r="E1" s="5" t="s">
        <v>32</v>
      </c>
      <c r="G1" s="5" t="s">
        <v>46</v>
      </c>
      <c r="J1" s="4">
        <v>0.03</v>
      </c>
      <c r="L1" s="6"/>
      <c r="M1" s="6"/>
      <c r="N1" s="7"/>
      <c r="O1" s="6"/>
      <c r="P1" s="8"/>
      <c r="Q1" s="8"/>
      <c r="R1" s="9"/>
      <c r="S1" s="9"/>
      <c r="T1" s="10"/>
      <c r="U1" s="10"/>
      <c r="V1" s="10"/>
      <c r="W1" s="7"/>
      <c r="X1" s="7"/>
      <c r="Y1" s="7"/>
      <c r="Z1" s="7"/>
      <c r="AA1" s="7"/>
      <c r="AB1" s="6"/>
      <c r="AC1" s="6"/>
      <c r="AD1" s="7"/>
      <c r="AE1" s="7"/>
      <c r="AG1" s="5" t="s">
        <v>25</v>
      </c>
      <c r="AH1" s="11"/>
      <c r="AI1" s="11"/>
      <c r="AJ1" s="11"/>
      <c r="AK1" s="11"/>
      <c r="AL1" s="11"/>
      <c r="AM1" s="11"/>
      <c r="AN1" s="11"/>
      <c r="AO1" s="11"/>
      <c r="AR1" s="3" t="s">
        <v>28</v>
      </c>
      <c r="AY1" s="12"/>
      <c r="AZ1" s="12"/>
      <c r="BA1" s="12"/>
      <c r="BB1" s="12"/>
      <c r="BC1" s="12"/>
      <c r="BE1" s="3" t="s">
        <v>27</v>
      </c>
      <c r="BH1" s="11"/>
      <c r="BI1" s="11"/>
      <c r="BJ1" s="11"/>
      <c r="BQ1" s="13" t="s">
        <v>57</v>
      </c>
      <c r="CD1" s="14" t="s">
        <v>67</v>
      </c>
      <c r="CE1" s="11"/>
      <c r="CF1" s="11"/>
      <c r="CG1" s="11"/>
      <c r="CI1" s="3" t="s">
        <v>77</v>
      </c>
      <c r="CM1" s="3" t="s">
        <v>82</v>
      </c>
    </row>
    <row r="2" spans="1:92" ht="15.75" customHeight="1" thickBot="1">
      <c r="C2" s="17">
        <f>VLOOKUP(C4,waluta,2)</f>
        <v>2</v>
      </c>
      <c r="D2" s="18" t="s">
        <v>14</v>
      </c>
      <c r="E2" s="19">
        <f>SUM(E5:E312)</f>
        <v>-78601.111739857908</v>
      </c>
      <c r="F2" s="19">
        <f>SUM(F5:F313)</f>
        <v>-299562.50322400627</v>
      </c>
      <c r="G2" s="19">
        <f>SUM(G5:G409)</f>
        <v>-247863.21929989749</v>
      </c>
      <c r="H2" s="19">
        <f>SUM(H5:H298)</f>
        <v>51699.283924108378</v>
      </c>
      <c r="I2" s="19"/>
      <c r="L2" s="20"/>
      <c r="M2" s="20"/>
      <c r="N2" s="19"/>
      <c r="O2" s="19"/>
      <c r="P2" s="21" t="s">
        <v>14</v>
      </c>
      <c r="Q2" s="21"/>
      <c r="R2" s="19">
        <f>SUM(R5:R285)</f>
        <v>0</v>
      </c>
      <c r="S2" s="19">
        <f>SUM(S5:S285)</f>
        <v>168909.99371914408</v>
      </c>
      <c r="T2" s="19">
        <f>SUM(T5:T277)</f>
        <v>-116773.21301904182</v>
      </c>
      <c r="U2" s="19">
        <f>SUM(U5:U285)</f>
        <v>-247863.21929989749</v>
      </c>
      <c r="V2" s="19">
        <f>SUM(V5:V285)</f>
        <v>-131090.00628085592</v>
      </c>
      <c r="W2" s="19">
        <f>SUM(W5:W285)</f>
        <v>0</v>
      </c>
      <c r="X2" s="19">
        <f>SUM(X5:X286)</f>
        <v>0</v>
      </c>
      <c r="Y2" s="19">
        <f>SUM(Y5:Y285)</f>
        <v>-37030.521876771716</v>
      </c>
      <c r="Z2" s="19">
        <f>SUM(Z5:Z286)</f>
        <v>-78601.111739857908</v>
      </c>
      <c r="AA2" s="19">
        <f>SUM(AA5:AA285)</f>
        <v>-41570.589863086119</v>
      </c>
      <c r="AB2" s="19">
        <f>SUM(AB5:AB286)</f>
        <v>196</v>
      </c>
      <c r="AC2" s="19"/>
      <c r="AD2" s="19">
        <f>SUM(AD5:AD285)</f>
        <v>5950.233671860552</v>
      </c>
      <c r="AE2" s="19">
        <f>SUM(AE5:AE286)</f>
        <v>75809.42208997265</v>
      </c>
      <c r="AG2" s="14" t="s">
        <v>32</v>
      </c>
      <c r="AJ2" s="19">
        <f>SUM(AJ5:AJ274)</f>
        <v>84769.48</v>
      </c>
      <c r="AK2" s="19">
        <f>SUM(AK5:AK275)</f>
        <v>319559.00999999983</v>
      </c>
      <c r="AL2" s="14" t="s">
        <v>35</v>
      </c>
      <c r="AO2" s="19">
        <f>SUM(AO5:AO276)</f>
        <v>270065.63999999984</v>
      </c>
      <c r="AP2" s="19">
        <f>SUM(AP5:AP276)</f>
        <v>51530.17</v>
      </c>
      <c r="AR2" s="15" t="s">
        <v>38</v>
      </c>
      <c r="AT2" s="19">
        <f>SUM(AT5:AT275)</f>
        <v>-53817.987993076385</v>
      </c>
      <c r="AU2" s="19">
        <f>SUM(AU5:AU276)</f>
        <v>-114889.78367474626</v>
      </c>
      <c r="AV2" s="19">
        <f>SUM(AV5:AV276)</f>
        <v>-60762.958320596961</v>
      </c>
      <c r="AW2" s="19">
        <f>SUM(AW5:AW276)</f>
        <v>-425111.5936728153</v>
      </c>
      <c r="AY2" s="23" t="s">
        <v>39</v>
      </c>
      <c r="AZ2" s="19">
        <f>SUM(AZ5:AZ277)</f>
        <v>-54126.82535414939</v>
      </c>
      <c r="BA2" s="19">
        <f>SUM(BA5:BA276)</f>
        <v>-75708.809999999765</v>
      </c>
      <c r="BB2" s="19">
        <f>SUM(BB5:BB276)</f>
        <v>-129835.63535414933</v>
      </c>
      <c r="BC2" s="19">
        <f>SUM(BC5:BC276)</f>
        <v>-474888.69969088346</v>
      </c>
      <c r="BE2" s="15" t="s">
        <v>38</v>
      </c>
      <c r="BH2" s="19">
        <f>SUM(BH5:BH275)</f>
        <v>-97624.732955235348</v>
      </c>
      <c r="BI2" s="19">
        <f>SUM(BI5:BI276)</f>
        <v>-267437.07233050576</v>
      </c>
      <c r="BJ2" s="19">
        <f>SUM(BJ5:BJ276)</f>
        <v>-365704.14830434002</v>
      </c>
      <c r="BL2" s="23" t="s">
        <v>39</v>
      </c>
      <c r="BM2" s="19">
        <f>SUM(BM5:BM278)</f>
        <v>-226997.89972222224</v>
      </c>
      <c r="BN2" s="19">
        <f>SUM(BN5:BN277)</f>
        <v>-163333.3333333334</v>
      </c>
      <c r="BO2" s="19">
        <f>SUM(BO5:BO277)</f>
        <v>-390331.23305555532</v>
      </c>
      <c r="BQ2" s="24" t="s">
        <v>38</v>
      </c>
      <c r="BR2" s="25"/>
      <c r="BS2" s="19">
        <f>SUM(BS5:BS276)</f>
        <v>-129944.76753011144</v>
      </c>
      <c r="BT2" s="19">
        <f>SUM(BT5:BT276)</f>
        <v>-233321.25763950223</v>
      </c>
      <c r="BU2" s="19">
        <f>SUM(BU5:BU276)</f>
        <v>-363266.02516961365</v>
      </c>
      <c r="BV2" s="19"/>
      <c r="BX2" s="26" t="s">
        <v>39</v>
      </c>
      <c r="BY2" s="19">
        <f>SUM(BY5:BY277)</f>
        <v>-179677.22559746951</v>
      </c>
      <c r="BZ2" s="19">
        <f>SUM(BZ5:BZ276)</f>
        <v>-163349.88332005887</v>
      </c>
      <c r="CA2" s="19">
        <f>SUM(CA5:CA277)</f>
        <v>-343027.10891752853</v>
      </c>
      <c r="CB2" s="25"/>
      <c r="CD2" s="14"/>
      <c r="CE2" s="22">
        <f>SUM(CE5:CE280)</f>
        <v>179677.22559746951</v>
      </c>
      <c r="CI2" s="25"/>
      <c r="CJ2" s="27">
        <f>SUM(CJ5:CJ278)</f>
        <v>-114751.98</v>
      </c>
      <c r="CK2" s="27">
        <f>SUM(CK4:CK277)</f>
        <v>212520</v>
      </c>
      <c r="CN2" s="27">
        <f>-SUM(CN4:CN276)</f>
        <v>72447.668297719822</v>
      </c>
    </row>
    <row r="3" spans="1:92" s="35" customFormat="1" ht="32.15" customHeight="1" thickBot="1">
      <c r="A3" s="28"/>
      <c r="B3" s="29"/>
      <c r="C3" s="30" t="s">
        <v>42</v>
      </c>
      <c r="D3" s="31" t="s">
        <v>21</v>
      </c>
      <c r="E3" s="32" t="s">
        <v>3</v>
      </c>
      <c r="F3" s="33" t="s">
        <v>3</v>
      </c>
      <c r="G3" s="33" t="s">
        <v>4</v>
      </c>
      <c r="H3" s="33" t="s">
        <v>5</v>
      </c>
      <c r="I3" s="34"/>
      <c r="K3" s="35" t="s">
        <v>33</v>
      </c>
      <c r="L3" s="30" t="s">
        <v>55</v>
      </c>
      <c r="M3" s="31" t="s">
        <v>56</v>
      </c>
      <c r="N3" s="36" t="s">
        <v>11</v>
      </c>
      <c r="O3" s="37" t="s">
        <v>11</v>
      </c>
      <c r="P3" s="38" t="s">
        <v>17</v>
      </c>
      <c r="Q3" s="39" t="s">
        <v>18</v>
      </c>
      <c r="R3" s="40" t="s">
        <v>19</v>
      </c>
      <c r="S3" s="41" t="s">
        <v>16</v>
      </c>
      <c r="T3" s="42" t="s">
        <v>20</v>
      </c>
      <c r="U3" s="43" t="s">
        <v>12</v>
      </c>
      <c r="V3" s="43" t="s">
        <v>9</v>
      </c>
      <c r="W3" s="44" t="s">
        <v>19</v>
      </c>
      <c r="X3" s="43" t="s">
        <v>16</v>
      </c>
      <c r="Y3" s="45" t="s">
        <v>10</v>
      </c>
      <c r="Z3" s="44" t="s">
        <v>12</v>
      </c>
      <c r="AA3" s="44" t="s">
        <v>9</v>
      </c>
      <c r="AB3" s="33" t="s">
        <v>13</v>
      </c>
      <c r="AC3" s="46"/>
      <c r="AD3" s="47" t="s">
        <v>81</v>
      </c>
      <c r="AE3" s="47" t="s">
        <v>81</v>
      </c>
      <c r="AG3" s="22" t="s">
        <v>23</v>
      </c>
      <c r="AH3" s="48" t="s">
        <v>10</v>
      </c>
      <c r="AI3" s="48" t="s">
        <v>9</v>
      </c>
      <c r="AJ3" s="48" t="s">
        <v>31</v>
      </c>
      <c r="AK3" s="48" t="s">
        <v>34</v>
      </c>
      <c r="AL3" s="48" t="s">
        <v>23</v>
      </c>
      <c r="AM3" s="48" t="s">
        <v>10</v>
      </c>
      <c r="AN3" s="48" t="s">
        <v>9</v>
      </c>
      <c r="AO3" s="48" t="s">
        <v>31</v>
      </c>
      <c r="AP3" s="35" t="s">
        <v>36</v>
      </c>
      <c r="AR3" s="49" t="s">
        <v>29</v>
      </c>
      <c r="AS3" s="36" t="s">
        <v>11</v>
      </c>
      <c r="AT3" s="45" t="s">
        <v>10</v>
      </c>
      <c r="AU3" s="44" t="s">
        <v>12</v>
      </c>
      <c r="AV3" s="44" t="s">
        <v>9</v>
      </c>
      <c r="AW3" s="28" t="s">
        <v>4</v>
      </c>
      <c r="AY3" s="50" t="s">
        <v>11</v>
      </c>
      <c r="AZ3" s="51" t="s">
        <v>10</v>
      </c>
      <c r="BA3" s="52" t="s">
        <v>9</v>
      </c>
      <c r="BB3" s="52" t="s">
        <v>40</v>
      </c>
      <c r="BC3" s="53" t="s">
        <v>4</v>
      </c>
      <c r="BE3" s="35" t="s">
        <v>30</v>
      </c>
      <c r="BF3" s="35" t="s">
        <v>24</v>
      </c>
      <c r="BG3" s="35" t="s">
        <v>11</v>
      </c>
      <c r="BH3" s="48" t="s">
        <v>9</v>
      </c>
      <c r="BI3" s="48" t="s">
        <v>20</v>
      </c>
      <c r="BJ3" s="48" t="s">
        <v>31</v>
      </c>
      <c r="BL3" s="50" t="s">
        <v>11</v>
      </c>
      <c r="BM3" s="51" t="s">
        <v>10</v>
      </c>
      <c r="BN3" s="52" t="s">
        <v>9</v>
      </c>
      <c r="BO3" s="52" t="s">
        <v>40</v>
      </c>
      <c r="BQ3" s="28" t="s">
        <v>24</v>
      </c>
      <c r="BR3" s="28" t="s">
        <v>11</v>
      </c>
      <c r="BS3" s="54" t="s">
        <v>9</v>
      </c>
      <c r="BT3" s="54" t="s">
        <v>20</v>
      </c>
      <c r="BU3" s="54" t="s">
        <v>31</v>
      </c>
      <c r="BV3" s="54" t="s">
        <v>62</v>
      </c>
      <c r="BX3" s="50" t="s">
        <v>11</v>
      </c>
      <c r="BY3" s="51" t="s">
        <v>10</v>
      </c>
      <c r="BZ3" s="52" t="s">
        <v>9</v>
      </c>
      <c r="CA3" s="52" t="s">
        <v>40</v>
      </c>
      <c r="CB3" s="54" t="s">
        <v>62</v>
      </c>
      <c r="CD3" s="55" t="s">
        <v>11</v>
      </c>
      <c r="CE3" s="45" t="s">
        <v>68</v>
      </c>
      <c r="CF3" s="44" t="s">
        <v>69</v>
      </c>
      <c r="CG3" s="54" t="s">
        <v>62</v>
      </c>
      <c r="CI3" s="28" t="s">
        <v>71</v>
      </c>
      <c r="CJ3" s="28" t="s">
        <v>72</v>
      </c>
      <c r="CK3" s="28" t="s">
        <v>75</v>
      </c>
      <c r="CM3" s="35" t="s">
        <v>83</v>
      </c>
      <c r="CN3" s="35" t="s">
        <v>84</v>
      </c>
    </row>
    <row r="4" spans="1:92" ht="16" thickBot="1">
      <c r="A4" s="56" t="s">
        <v>6</v>
      </c>
      <c r="B4" s="57" t="s">
        <v>41</v>
      </c>
      <c r="C4" s="58" t="str">
        <f>Dane_kredytowe!F11</f>
        <v>CHF</v>
      </c>
      <c r="D4" s="59" t="str">
        <f>C4</f>
        <v>CHF</v>
      </c>
      <c r="E4" s="60" t="str">
        <f>D4</f>
        <v>CHF</v>
      </c>
      <c r="F4" s="20" t="s">
        <v>8</v>
      </c>
      <c r="G4" s="20" t="s">
        <v>8</v>
      </c>
      <c r="H4" s="61" t="s">
        <v>8</v>
      </c>
      <c r="I4" s="62"/>
      <c r="L4" s="63"/>
      <c r="M4" s="64"/>
      <c r="N4" s="65" t="str">
        <f>C4</f>
        <v>CHF</v>
      </c>
      <c r="O4" s="66" t="s">
        <v>8</v>
      </c>
      <c r="P4" s="67"/>
      <c r="Q4" s="68"/>
      <c r="R4" s="69" t="s">
        <v>8</v>
      </c>
      <c r="S4" s="70" t="s">
        <v>8</v>
      </c>
      <c r="T4" s="71" t="s">
        <v>8</v>
      </c>
      <c r="U4" s="72" t="s">
        <v>8</v>
      </c>
      <c r="V4" s="72" t="s">
        <v>8</v>
      </c>
      <c r="W4" s="19" t="str">
        <f>C4</f>
        <v>CHF</v>
      </c>
      <c r="X4" s="19" t="str">
        <f>C4</f>
        <v>CHF</v>
      </c>
      <c r="Y4" s="73" t="str">
        <f>C4</f>
        <v>CHF</v>
      </c>
      <c r="Z4" s="19" t="str">
        <f>C4</f>
        <v>CHF</v>
      </c>
      <c r="AA4" s="19" t="str">
        <f>C4</f>
        <v>CHF</v>
      </c>
      <c r="AB4" s="20"/>
      <c r="AD4" s="75" t="s">
        <v>8</v>
      </c>
      <c r="AE4" s="75" t="str">
        <f>C4</f>
        <v>CHF</v>
      </c>
      <c r="AG4" s="22" t="str">
        <f>C4</f>
        <v>CHF</v>
      </c>
      <c r="AH4" s="22" t="str">
        <f>C4</f>
        <v>CHF</v>
      </c>
      <c r="AI4" s="22" t="str">
        <f>C4</f>
        <v>CHF</v>
      </c>
      <c r="AJ4" s="22" t="str">
        <f>C4</f>
        <v>CHF</v>
      </c>
      <c r="AK4" s="22" t="s">
        <v>8</v>
      </c>
      <c r="AL4" s="22" t="s">
        <v>8</v>
      </c>
      <c r="AM4" s="22" t="s">
        <v>8</v>
      </c>
      <c r="AN4" s="22" t="s">
        <v>8</v>
      </c>
      <c r="AO4" s="22" t="s">
        <v>8</v>
      </c>
      <c r="AP4" s="15" t="s">
        <v>8</v>
      </c>
      <c r="AR4" s="76"/>
      <c r="AS4" s="65" t="str">
        <f>C4</f>
        <v>CHF</v>
      </c>
      <c r="AT4" s="73" t="str">
        <f>C4</f>
        <v>CHF</v>
      </c>
      <c r="AU4" s="19" t="str">
        <f>C4</f>
        <v>CHF</v>
      </c>
      <c r="AV4" s="19" t="str">
        <f>C4</f>
        <v>CHF</v>
      </c>
      <c r="AW4" s="25" t="s">
        <v>8</v>
      </c>
      <c r="AY4" s="65" t="str">
        <f>C4</f>
        <v>CHF</v>
      </c>
      <c r="AZ4" s="73" t="str">
        <f>C4</f>
        <v>CHF</v>
      </c>
      <c r="BA4" s="19" t="str">
        <f>C4</f>
        <v>CHF</v>
      </c>
      <c r="BB4" s="19" t="str">
        <f>C4</f>
        <v>CHF</v>
      </c>
      <c r="BC4" s="25" t="s">
        <v>8</v>
      </c>
      <c r="BL4" s="77" t="s">
        <v>8</v>
      </c>
      <c r="BM4" s="73" t="s">
        <v>8</v>
      </c>
      <c r="BN4" s="19" t="s">
        <v>8</v>
      </c>
      <c r="BO4" s="19" t="s">
        <v>8</v>
      </c>
      <c r="BP4" s="15" t="s">
        <v>64</v>
      </c>
      <c r="BQ4" s="78">
        <f>0.0167</f>
        <v>1.67E-2</v>
      </c>
      <c r="BR4" s="25"/>
      <c r="BS4" s="27"/>
      <c r="BT4" s="27"/>
      <c r="BU4" s="27"/>
      <c r="BV4" s="27"/>
      <c r="BX4" s="77" t="s">
        <v>8</v>
      </c>
      <c r="BY4" s="73" t="s">
        <v>8</v>
      </c>
      <c r="BZ4" s="19" t="s">
        <v>8</v>
      </c>
      <c r="CA4" s="19" t="s">
        <v>8</v>
      </c>
      <c r="CB4" s="25"/>
      <c r="CD4" s="79" t="s">
        <v>8</v>
      </c>
      <c r="CE4" s="73" t="s">
        <v>8</v>
      </c>
      <c r="CF4" s="19" t="s">
        <v>8</v>
      </c>
      <c r="CG4" s="27"/>
      <c r="CI4" s="25" t="s">
        <v>70</v>
      </c>
      <c r="CJ4" s="25"/>
      <c r="CK4" s="27">
        <f>ROUND(VLOOKUP(Dane_kredytowe!F$9,Inflacja,2)*Dane_kredytowe!F$8,2)</f>
        <v>212520</v>
      </c>
      <c r="CL4" s="15" t="s">
        <v>78</v>
      </c>
      <c r="CM4" s="15" t="s">
        <v>8</v>
      </c>
    </row>
    <row r="5" spans="1:92">
      <c r="A5" s="25">
        <v>2002</v>
      </c>
      <c r="B5" s="80">
        <v>37257</v>
      </c>
      <c r="C5" s="81">
        <f t="shared" ref="C5:C68" si="0">VLOOKUP(B5,Kursy,C$2)</f>
        <v>2.4382000000000001</v>
      </c>
      <c r="D5" s="82">
        <f>C5*(1+$J$1)</f>
        <v>2.5113460000000001</v>
      </c>
      <c r="E5" s="73">
        <f>Z5</f>
        <v>0</v>
      </c>
      <c r="F5" s="19">
        <f>E5*D5</f>
        <v>0</v>
      </c>
      <c r="G5" s="19">
        <f>U5</f>
        <v>0</v>
      </c>
      <c r="H5" s="19">
        <f>G5-F5</f>
        <v>0</v>
      </c>
      <c r="I5" s="62"/>
      <c r="J5" s="15" t="str">
        <f>IF(H5&lt;0,"Ze względu na spadek kursu CHF, rata jest korzystniejsza niż bez klauzuli indeksacyjnej"," ")</f>
        <v xml:space="preserve"> </v>
      </c>
      <c r="K5" s="15">
        <f>IF(B5&lt;=Dane_kredytowe!F$9,0,K4+1)</f>
        <v>0</v>
      </c>
      <c r="L5" s="83">
        <f t="shared" ref="L5:L68" si="1">VLOOKUP(B5,Oproc,C$2)</f>
        <v>1.8266999999999999E-2</v>
      </c>
      <c r="M5" s="84">
        <f>L5+Dane_kredytowe!F$12</f>
        <v>4.8266999999999997E-2</v>
      </c>
      <c r="N5" s="79">
        <f>Dane_kredytowe!F$17</f>
        <v>95134.46</v>
      </c>
      <c r="O5" s="85">
        <f>Dane_kredytowe!F$8</f>
        <v>300000</v>
      </c>
      <c r="P5" s="67">
        <f>Dane_kredytowe!F13</f>
        <v>360</v>
      </c>
      <c r="Q5" s="127" t="str">
        <f>IF(AND(K5&gt;0,K5&lt;=Dane_kredytowe!F$16),"tak","nie")</f>
        <v>nie</v>
      </c>
      <c r="R5" s="69"/>
      <c r="S5" s="86">
        <f>IF(Dane_kredytowe!F$19=B5,O4+V4,_xlfn.XLOOKUP(B5,Dane_kredytowe!M$9:M$18,Dane_kredytowe!N$9:N$18,0))</f>
        <v>0</v>
      </c>
      <c r="T5" s="71">
        <f t="shared" ref="T5:T68" si="2">IF(AB5=1,-O5*M5/12,0)</f>
        <v>0</v>
      </c>
      <c r="U5" s="72">
        <f>IF(Q5="tak",T5,IF(P5-SUM(AB$5:AB5)+1&gt;0,IF(Dane_kredytowe!F$9&lt;B5,IF(SUM(AB$5:AB5)-Dane_kredytowe!F$16+1&gt;0,PMT(M5/12,P5+1-SUM(AB$5:AB5),O5),T5),0),0))</f>
        <v>0</v>
      </c>
      <c r="V5" s="72">
        <f>U5-T5</f>
        <v>0</v>
      </c>
      <c r="W5" s="19" t="str">
        <f>IF(R5&gt;0,R5/(C5*(1-$J$1))," ")</f>
        <v xml:space="preserve"> </v>
      </c>
      <c r="X5" s="19">
        <f t="shared" ref="X5:X68" si="3">IF(S5&gt;0,S5/D5,0)</f>
        <v>0</v>
      </c>
      <c r="Y5" s="73">
        <f t="shared" ref="Y5:Y68" si="4">IF(AB5=1,-N5*M5/12,0)</f>
        <v>0</v>
      </c>
      <c r="Z5" s="19">
        <f>IF(P5-SUM(AB$5:AB5)+1&gt;0,IF(Dane_kredytowe!F$9&lt;B5,IF(SUM(AB$5:AB5)-Dane_kredytowe!F$16+1&gt;0,PMT(M5/12,P5+1-SUM(AB$5:AB5),N5),Y5),0),0)</f>
        <v>0</v>
      </c>
      <c r="AA5" s="19">
        <f>Z5-Y5</f>
        <v>0</v>
      </c>
      <c r="AB5" s="20">
        <v>0</v>
      </c>
      <c r="AC5" s="74" t="str">
        <f>IF(B5&lt;Dane_kredytowe!F$15,"tak",)</f>
        <v>tak</v>
      </c>
      <c r="AD5" s="75">
        <f>IF(OR(B5&lt;Dane_kredytowe!F$15,Dane_kredytowe!F$15=""),-F5+S5,0)</f>
        <v>0</v>
      </c>
      <c r="AE5" s="75">
        <f t="shared" ref="AE5:AE68" si="5">IF(AD5=0,-E5+X5,0)</f>
        <v>0</v>
      </c>
      <c r="AG5" s="22">
        <f>Dane_kredytowe!F$17</f>
        <v>95134.46</v>
      </c>
      <c r="AH5" s="22">
        <f t="shared" ref="AH5:AH68" si="6">IF(AB5=1,ROUND(AG5*M5/12,2),0)</f>
        <v>0</v>
      </c>
      <c r="AI5" s="22">
        <f t="shared" ref="AI5:AI68" si="7">IF(Q5="tak",0,IF(AB5=1,ROUND(AG5/(P5-K5+1),2),0))</f>
        <v>0</v>
      </c>
      <c r="AJ5" s="22">
        <f>AI5+AH5</f>
        <v>0</v>
      </c>
      <c r="AK5" s="22">
        <f t="shared" ref="AK5:AK68" si="8">ROUND(AJ5*D5,2)</f>
        <v>0</v>
      </c>
      <c r="AL5" s="22">
        <f>Dane_kredytowe!F$8</f>
        <v>300000</v>
      </c>
      <c r="AM5" s="22">
        <f t="shared" ref="AM5:AM68" si="9">IF(AB5=1,ROUND(AL5*M5/12,2),0)</f>
        <v>0</v>
      </c>
      <c r="AN5" s="22">
        <f t="shared" ref="AN5:AN68" si="10">IF(Q5="tak",0,IF(AB5=1,ROUND(AL5/(P5-K5+1),2),0))</f>
        <v>0</v>
      </c>
      <c r="AO5" s="22">
        <f>AN5+AM5</f>
        <v>0</v>
      </c>
      <c r="AP5" s="22">
        <f>AK5-AO5</f>
        <v>0</v>
      </c>
      <c r="AQ5" s="15" t="s">
        <v>26</v>
      </c>
      <c r="AR5" s="87">
        <f t="shared" ref="AR5:AR68" si="11">B5</f>
        <v>37257</v>
      </c>
      <c r="AS5" s="23">
        <f>Dane_kredytowe!F$8/VLOOKUP(Dane_kredytowe!F$9,Kursy,VLOOKUP(E4,waluta,2))</f>
        <v>139056.27143784185</v>
      </c>
      <c r="AT5" s="22">
        <f t="shared" ref="AT5:AT68" si="12">IF(AB5=1,-AS5*M5/12,0)</f>
        <v>0</v>
      </c>
      <c r="AU5" s="22">
        <f>IF(AB5=1,IF(Q5="tak",AT5,PMT(M5/12,P5+1-SUM(AB$5:AB5),AS5)),0)</f>
        <v>0</v>
      </c>
      <c r="AV5" s="22">
        <f>AU5-AT5</f>
        <v>0</v>
      </c>
      <c r="AW5" s="22">
        <f t="shared" ref="AW5:AW68" si="13">AU5*C5</f>
        <v>0</v>
      </c>
      <c r="AY5" s="23">
        <f>Dane_kredytowe!F$8/VLOOKUP(Dane_kredytowe!F$9,Kursy,VLOOKUP(E4,waluta,2))</f>
        <v>139056.27143784185</v>
      </c>
      <c r="AZ5" s="23">
        <f t="shared" ref="AZ5:AZ68" si="14">IF(AB5=1,-AS5*M5/12,0)</f>
        <v>0</v>
      </c>
      <c r="BA5" s="23">
        <f t="shared" ref="BA5:BA68" si="15">IF(AB5=1,IF(Q5="tak",0,ROUND(-AY5/(P5-K5+1),2)),0)</f>
        <v>0</v>
      </c>
      <c r="BB5" s="23">
        <f>BA5+AZ5</f>
        <v>0</v>
      </c>
      <c r="BC5" s="23">
        <f t="shared" ref="BC5:BC68" si="16">BB5*C5</f>
        <v>0</v>
      </c>
      <c r="BE5" s="88">
        <f t="shared" ref="BE5:BE68" si="17">VLOOKUP(B5,Oproc,5)</f>
        <v>0.1182</v>
      </c>
      <c r="BF5" s="89">
        <f>BE5+Dane_kredytowe!F$12</f>
        <v>0.1482</v>
      </c>
      <c r="BG5" s="23">
        <f>Dane_kredytowe!F$8</f>
        <v>300000</v>
      </c>
      <c r="BH5" s="22">
        <f>IF(BJ5&lt;0,BJ5-BI5,0)</f>
        <v>0</v>
      </c>
      <c r="BI5" s="22">
        <f>IF(BJ5&lt;0,-BG5*BF5/12,0)</f>
        <v>0</v>
      </c>
      <c r="BJ5" s="22">
        <f>IF(U5&lt;0,PMT(BF5/12,Dane_kredytowe!F$13-SUM(AB$5:AB5)+1,BG5),0)</f>
        <v>0</v>
      </c>
      <c r="BL5" s="23">
        <f>Dane_kredytowe!F$8</f>
        <v>300000</v>
      </c>
      <c r="BM5" s="23">
        <f t="shared" ref="BM5:BM68" si="18">IF(AB5=1,-BF5*BL5/12,0)</f>
        <v>0</v>
      </c>
      <c r="BN5" s="23">
        <f t="shared" ref="BN5:BN68" si="19">IF(AB5=1,-BL5/(P5-K5+1),0)</f>
        <v>0</v>
      </c>
      <c r="BO5" s="23">
        <f t="shared" ref="BO5:BO68" si="20">BN5+BM5</f>
        <v>0</v>
      </c>
      <c r="BQ5" s="89">
        <f>BE5+$BQ$4</f>
        <v>0.13489999999999999</v>
      </c>
      <c r="BR5" s="23">
        <f>Dane_kredytowe!F$8</f>
        <v>300000</v>
      </c>
      <c r="BS5" s="22">
        <f>IF(BU5&lt;0,BU5-BT5,0)</f>
        <v>0</v>
      </c>
      <c r="BT5" s="22">
        <f>IF(BU5&lt;0,-BR5*BQ5/12,0)</f>
        <v>0</v>
      </c>
      <c r="BU5" s="22">
        <f>IF(U5&lt;0,PMT(BQ5/12,Dane_kredytowe!F$13-SUM(AB$5:AB5)+1,BR5),0)</f>
        <v>0</v>
      </c>
      <c r="BV5" s="22">
        <f>$F5-BU5</f>
        <v>0</v>
      </c>
      <c r="BX5" s="23">
        <f>Dane_kredytowe!F$8</f>
        <v>300000</v>
      </c>
      <c r="BY5" s="22">
        <f t="shared" ref="BY5:BY68" si="21">IF(AB5=1,-BQ5*BX5/12,0)</f>
        <v>0</v>
      </c>
      <c r="BZ5" s="22">
        <f t="shared" ref="BZ5:BZ68" si="22">IF(AB5=1,-BX5/(P5-K5+1),0)</f>
        <v>0</v>
      </c>
      <c r="CA5" s="22">
        <f>BZ5+BY5</f>
        <v>0</v>
      </c>
      <c r="CB5" s="22">
        <f>$F5-CA5</f>
        <v>0</v>
      </c>
      <c r="CD5" s="22">
        <f>Dane_kredytowe!F$8</f>
        <v>300000</v>
      </c>
      <c r="CE5" s="22">
        <f>IF(AB5=1,BQ5*BX5/12,0)</f>
        <v>0</v>
      </c>
      <c r="CF5" s="22">
        <f t="shared" ref="CF5:CF68" si="23">-F5</f>
        <v>0</v>
      </c>
      <c r="CG5" s="22">
        <f>CF5-CE5</f>
        <v>0</v>
      </c>
      <c r="CI5" s="89">
        <f t="shared" ref="CI5:CI68" si="24">VLOOKUP(B5,Inflacja,2)</f>
        <v>0.96009999999999995</v>
      </c>
      <c r="CJ5" s="22">
        <f t="shared" ref="CJ5:CJ68" si="25">ROUND(CI5*(F5-S5),2)</f>
        <v>0</v>
      </c>
      <c r="CK5" s="15">
        <f>ROUND(R5*CI5,2)</f>
        <v>0</v>
      </c>
      <c r="CL5" s="15" t="s">
        <v>76</v>
      </c>
      <c r="CM5" s="22">
        <f>F5+S5</f>
        <v>0</v>
      </c>
      <c r="CN5" s="15">
        <f>CM5*BE5/12</f>
        <v>0</v>
      </c>
    </row>
    <row r="6" spans="1:92">
      <c r="A6" s="25"/>
      <c r="B6" s="90">
        <v>37288</v>
      </c>
      <c r="C6" s="81">
        <f t="shared" si="0"/>
        <v>2.4643000000000002</v>
      </c>
      <c r="D6" s="82">
        <f>C6*(1+$J$1)</f>
        <v>2.5382290000000003</v>
      </c>
      <c r="E6" s="73">
        <f t="shared" ref="E6:E42" si="26">Z6</f>
        <v>0</v>
      </c>
      <c r="F6" s="19">
        <f t="shared" ref="F6:F42" si="27">E6*D6</f>
        <v>0</v>
      </c>
      <c r="G6" s="19">
        <f t="shared" ref="G6:G42" si="28">U6</f>
        <v>0</v>
      </c>
      <c r="H6" s="19">
        <f t="shared" ref="H6:H42" si="29">G6-F6</f>
        <v>0</v>
      </c>
      <c r="I6" s="62"/>
      <c r="J6" s="15" t="str">
        <f t="shared" ref="J6:J42" si="30">IF(H6&lt;0,"Ze względu na spadek kursu CHF, rata jest korzystniejsza niż bez klauzuli indeksacyjnej"," ")</f>
        <v xml:space="preserve"> </v>
      </c>
      <c r="K6" s="15">
        <f>IF(B6&lt;=Dane_kredytowe!F$9,0,K5+1)</f>
        <v>0</v>
      </c>
      <c r="L6" s="83">
        <f t="shared" si="1"/>
        <v>1.6767000000000001E-2</v>
      </c>
      <c r="M6" s="84">
        <f>L6+Dane_kredytowe!F$12</f>
        <v>4.6767000000000003E-2</v>
      </c>
      <c r="N6" s="79">
        <f>MAX(Dane_kredytowe!F$17+SUM(AA$5:AA5)-SUM(X$5:X6)+SUM(W$5:W6),0)</f>
        <v>95134.46</v>
      </c>
      <c r="O6" s="85">
        <f>MAX(Dane_kredytowe!F$8+SUM(V$5:V5)-SUM(S$5:S6)+SUM(R$5:R5),0)</f>
        <v>300000</v>
      </c>
      <c r="P6" s="67">
        <f t="shared" ref="P6:P42" si="31">P5</f>
        <v>360</v>
      </c>
      <c r="Q6" s="127" t="str">
        <f>IF(AND(K6&gt;0,K6&lt;=Dane_kredytowe!F$16),"tak","nie")</f>
        <v>nie</v>
      </c>
      <c r="S6" s="86">
        <f>IF(Dane_kredytowe!F$19=B6,O5+V5,_xlfn.XLOOKUP(B6,Dane_kredytowe!M$9:M$18,Dane_kredytowe!N$9:N$18,0))</f>
        <v>0</v>
      </c>
      <c r="T6" s="71">
        <f t="shared" si="2"/>
        <v>0</v>
      </c>
      <c r="U6" s="72">
        <f>IF(Q6="tak",T6,IF(P6-SUM(AB$5:AB6)+1&gt;0,IF(Dane_kredytowe!F$9&lt;B6,IF(SUM(AB$5:AB6)-Dane_kredytowe!F$16+1&gt;0,PMT(M6/12,P6+1-SUM(AB$5:AB6),O6),T6),0),0))</f>
        <v>0</v>
      </c>
      <c r="V6" s="72">
        <f t="shared" ref="V6:V69" si="32">U6-T6</f>
        <v>0</v>
      </c>
      <c r="W6" s="19" t="str">
        <f t="shared" ref="W6:W69" si="33">IF(R6&gt;0,R6/(C6*(1-$J$1))," ")</f>
        <v xml:space="preserve"> </v>
      </c>
      <c r="X6" s="19">
        <f t="shared" si="3"/>
        <v>0</v>
      </c>
      <c r="Y6" s="73">
        <f t="shared" si="4"/>
        <v>0</v>
      </c>
      <c r="Z6" s="19">
        <f>IF(P6-SUM(AB$5:AB6)+1&gt;0,IF(Dane_kredytowe!F$9&lt;B6,IF(SUM(AB$5:AB6)-Dane_kredytowe!F$16+1&gt;0,PMT(M6/12,P6+1-SUM(AB$5:AB6),N6),Y6),0),0)</f>
        <v>0</v>
      </c>
      <c r="AA6" s="19">
        <f t="shared" ref="AA6:AA42" si="34">Z6-Y6</f>
        <v>0</v>
      </c>
      <c r="AB6" s="20" t="str">
        <f>IF(AND(Dane_kredytowe!F$9&lt;B6,SUM(AB$5:AB5)&lt;P5),1," ")</f>
        <v xml:space="preserve"> </v>
      </c>
      <c r="AD6" s="75">
        <f>IF(OR(B6&lt;Dane_kredytowe!F$15,Dane_kredytowe!F$15=""),-F6+S6,0)</f>
        <v>0</v>
      </c>
      <c r="AE6" s="75">
        <f t="shared" si="5"/>
        <v>0</v>
      </c>
      <c r="AG6" s="22">
        <f>Dane_kredytowe!F$17-SUM(AI$5:AI5)+SUM(W6:W$42)-SUM(X6:X$42)</f>
        <v>95134.46</v>
      </c>
      <c r="AH6" s="22">
        <f t="shared" si="6"/>
        <v>0</v>
      </c>
      <c r="AI6" s="22">
        <f t="shared" si="7"/>
        <v>0</v>
      </c>
      <c r="AJ6" s="22">
        <f t="shared" ref="AJ6:AJ42" si="35">AI6+AH6</f>
        <v>0</v>
      </c>
      <c r="AK6" s="22">
        <f t="shared" si="8"/>
        <v>0</v>
      </c>
      <c r="AL6" s="22">
        <f>Dane_kredytowe!F$8-SUM(AN$5:AN5)+SUM(R5:R$42)-SUM(S6:S$42)</f>
        <v>300000</v>
      </c>
      <c r="AM6" s="22">
        <f t="shared" si="9"/>
        <v>0</v>
      </c>
      <c r="AN6" s="22">
        <f t="shared" si="10"/>
        <v>0</v>
      </c>
      <c r="AO6" s="22">
        <f t="shared" ref="AO6:AO42" si="36">AN6+AM6</f>
        <v>0</v>
      </c>
      <c r="AP6" s="22">
        <f t="shared" ref="AP6:AP42" si="37">AK6-AO6</f>
        <v>0</v>
      </c>
      <c r="AR6" s="87">
        <f t="shared" si="11"/>
        <v>37288</v>
      </c>
      <c r="AS6" s="23">
        <f>AS$5+SUM(AV$5:AV5)-SUM(X$5:X6)+SUM(W$5:W6)</f>
        <v>139056.27143784185</v>
      </c>
      <c r="AT6" s="22">
        <f t="shared" si="12"/>
        <v>0</v>
      </c>
      <c r="AU6" s="22">
        <f>IF(AB6=1,IF(Q6="tak",AT6,PMT(M6/12,P6+1-SUM(AB$5:AB6),AS6)),0)</f>
        <v>0</v>
      </c>
      <c r="AV6" s="22">
        <f t="shared" ref="AV6:AV42" si="38">AU6-AT6</f>
        <v>0</v>
      </c>
      <c r="AW6" s="22">
        <f t="shared" si="13"/>
        <v>0</v>
      </c>
      <c r="AY6" s="23">
        <f>AY$5+SUM(BA$5:BA5)+SUM(W$5:W5)-SUM(X$5:X5)</f>
        <v>139056.27143784185</v>
      </c>
      <c r="AZ6" s="23">
        <f t="shared" si="14"/>
        <v>0</v>
      </c>
      <c r="BA6" s="23">
        <f t="shared" si="15"/>
        <v>0</v>
      </c>
      <c r="BB6" s="23">
        <f t="shared" ref="BB6:BB42" si="39">BA6+AZ6</f>
        <v>0</v>
      </c>
      <c r="BC6" s="23">
        <f t="shared" si="16"/>
        <v>0</v>
      </c>
      <c r="BE6" s="88">
        <f t="shared" si="17"/>
        <v>0.1081</v>
      </c>
      <c r="BF6" s="89">
        <f>BE6+Dane_kredytowe!F$12</f>
        <v>0.1381</v>
      </c>
      <c r="BG6" s="23">
        <f>BG$5+SUM(BH$5:BH5)+SUM(R4:R$5)-SUM(S$5:S5)</f>
        <v>300000</v>
      </c>
      <c r="BH6" s="22">
        <f t="shared" ref="BH6:BH42" si="40">IF(BJ6&lt;0,BJ6-BI6,0)</f>
        <v>0</v>
      </c>
      <c r="BI6" s="22">
        <f t="shared" ref="BI6:BI42" si="41">IF(BJ6&lt;0,-BG6*BF6/12,0)</f>
        <v>0</v>
      </c>
      <c r="BJ6" s="22">
        <f>IF(U6&lt;0,PMT(BF6/12,Dane_kredytowe!F$13-SUM(AB$5:AB6)+1,BG6),0)</f>
        <v>0</v>
      </c>
      <c r="BL6" s="23">
        <f>BL$5+SUM(BN$5:BN5)+SUM(R4:R$5)-SUM(S$5:S5)</f>
        <v>300000</v>
      </c>
      <c r="BM6" s="23">
        <f t="shared" si="18"/>
        <v>0</v>
      </c>
      <c r="BN6" s="23">
        <f t="shared" si="19"/>
        <v>0</v>
      </c>
      <c r="BO6" s="23">
        <f t="shared" si="20"/>
        <v>0</v>
      </c>
      <c r="BQ6" s="89">
        <f t="shared" ref="BQ6:BQ68" si="42">BE6+$BQ$4</f>
        <v>0.12479999999999999</v>
      </c>
      <c r="BR6" s="23">
        <f>BR$5+SUM(BS$5:BS5)+SUM(R4:R$5)-SUM(S$5:S5)+SUM(BV$5:BV5)</f>
        <v>300000</v>
      </c>
      <c r="BS6" s="22">
        <f>IF(BU6&lt;0,BU6-BT6,0)</f>
        <v>0</v>
      </c>
      <c r="BT6" s="22">
        <f>IF(BU6&lt;0,-BR6*BQ6/12,0)</f>
        <v>0</v>
      </c>
      <c r="BU6" s="22">
        <f>IF(U6&lt;0,PMT(BQ6/12,Dane_kredytowe!F$13-SUM(AB$5:AB6)+1,BR6),0)</f>
        <v>0</v>
      </c>
      <c r="BV6" s="22">
        <f t="shared" ref="BV6:BV69" si="43">F6-BU6</f>
        <v>0</v>
      </c>
      <c r="BX6" s="23">
        <f>BX$5+SUM(BZ$5:BZ5)+SUM(R4:R$5)-SUM(S$5:S5)+SUM(CB$5,CB5)</f>
        <v>300000</v>
      </c>
      <c r="BY6" s="22">
        <f t="shared" si="21"/>
        <v>0</v>
      </c>
      <c r="BZ6" s="22">
        <f t="shared" si="22"/>
        <v>0</v>
      </c>
      <c r="CA6" s="22">
        <f>BZ6+BY6</f>
        <v>0</v>
      </c>
      <c r="CB6" s="22">
        <f>$F6-CA6</f>
        <v>0</v>
      </c>
      <c r="CD6" s="22">
        <f>CD$5+SUM(CE$5:CE5)+SUM(R4:R$5)-SUM(S$5:S5)-SUM(CF$5:CF5)</f>
        <v>300000</v>
      </c>
      <c r="CE6" s="22">
        <f t="shared" ref="CE6:CE69" si="44">IF(AB6=1,BQ6*BX6/12,0)</f>
        <v>0</v>
      </c>
      <c r="CF6" s="22">
        <f t="shared" si="23"/>
        <v>0</v>
      </c>
      <c r="CG6" s="22">
        <f t="shared" ref="CG6:CG69" si="45">CF6-CE6</f>
        <v>0</v>
      </c>
      <c r="CI6" s="89">
        <f t="shared" si="24"/>
        <v>0.95820000000000005</v>
      </c>
      <c r="CJ6" s="22">
        <f t="shared" si="25"/>
        <v>0</v>
      </c>
      <c r="CK6" s="15">
        <f t="shared" ref="CK6:CK69" si="46">ROUND(R6*CI6,2)</f>
        <v>0</v>
      </c>
      <c r="CM6" s="22">
        <f t="shared" ref="CM6:CM69" si="47">F6+S6+CM5</f>
        <v>0</v>
      </c>
      <c r="CN6" s="15">
        <f>CM6*BE6/12</f>
        <v>0</v>
      </c>
    </row>
    <row r="7" spans="1:92">
      <c r="A7" s="25"/>
      <c r="B7" s="90">
        <v>37316</v>
      </c>
      <c r="C7" s="81">
        <f>VLOOKUP(B7,Kursy,C$2)</f>
        <v>2.4725999999999999</v>
      </c>
      <c r="D7" s="82">
        <f t="shared" ref="D7:D70" si="48">C7*(1+$J$1)</f>
        <v>2.5467779999999998</v>
      </c>
      <c r="E7" s="73">
        <f t="shared" si="26"/>
        <v>0</v>
      </c>
      <c r="F7" s="19">
        <f t="shared" si="27"/>
        <v>0</v>
      </c>
      <c r="G7" s="19">
        <f t="shared" si="28"/>
        <v>0</v>
      </c>
      <c r="H7" s="19">
        <f t="shared" si="29"/>
        <v>0</v>
      </c>
      <c r="I7" s="62"/>
      <c r="J7" s="15" t="str">
        <f t="shared" si="30"/>
        <v xml:space="preserve"> </v>
      </c>
      <c r="K7" s="15">
        <f>IF(B7&lt;=Dane_kredytowe!F$9,0,K6+1)</f>
        <v>0</v>
      </c>
      <c r="L7" s="83">
        <f t="shared" si="1"/>
        <v>1.7467E-2</v>
      </c>
      <c r="M7" s="84">
        <f>L7+Dane_kredytowe!F$12</f>
        <v>4.7466999999999995E-2</v>
      </c>
      <c r="N7" s="79">
        <f>MAX(Dane_kredytowe!F$17+SUM(AA$5:AA6)-SUM(X$5:X7)+SUM(W$5:W7),0)</f>
        <v>95134.46</v>
      </c>
      <c r="O7" s="85">
        <f>MAX(Dane_kredytowe!F$8+SUM(V$5:V6)-SUM(S$5:S7)+SUM(R$5:R6),0)</f>
        <v>300000</v>
      </c>
      <c r="P7" s="67">
        <f t="shared" si="31"/>
        <v>360</v>
      </c>
      <c r="Q7" s="127" t="str">
        <f>IF(AND(K7&gt;0,K7&lt;=Dane_kredytowe!F$16),"tak","nie")</f>
        <v>nie</v>
      </c>
      <c r="R7" s="69"/>
      <c r="S7" s="86">
        <f>IF(Dane_kredytowe!F$19=B7,O6+V6,_xlfn.XLOOKUP(B7,Dane_kredytowe!M$9:M$18,Dane_kredytowe!N$9:N$18,0))</f>
        <v>0</v>
      </c>
      <c r="T7" s="71">
        <f t="shared" si="2"/>
        <v>0</v>
      </c>
      <c r="U7" s="72">
        <f>IF(Q7="tak",T7,IF(P7-SUM(AB$5:AB7)+1&gt;0,IF(Dane_kredytowe!F$9&lt;B7,IF(SUM(AB$5:AB7)-Dane_kredytowe!F$16+1&gt;0,PMT(M7/12,P7+1-SUM(AB$5:AB7),O7),T7),0),0))</f>
        <v>0</v>
      </c>
      <c r="V7" s="72">
        <f t="shared" si="32"/>
        <v>0</v>
      </c>
      <c r="W7" s="19" t="str">
        <f t="shared" si="33"/>
        <v xml:space="preserve"> </v>
      </c>
      <c r="X7" s="19">
        <f t="shared" si="3"/>
        <v>0</v>
      </c>
      <c r="Y7" s="73">
        <f t="shared" si="4"/>
        <v>0</v>
      </c>
      <c r="Z7" s="19">
        <f>IF(P7-SUM(AB$5:AB7)+1&gt;0,IF(Dane_kredytowe!F$9&lt;B7,IF(SUM(AB$5:AB7)-Dane_kredytowe!F$16+1&gt;0,PMT(M7/12,P7+1-SUM(AB$5:AB7),N7),Y7),0),0)</f>
        <v>0</v>
      </c>
      <c r="AA7" s="19">
        <f t="shared" si="34"/>
        <v>0</v>
      </c>
      <c r="AB7" s="20" t="str">
        <f>IF(AND(Dane_kredytowe!F$9&lt;B7,SUM(AB$5:AB6)&lt;P6),1," ")</f>
        <v xml:space="preserve"> </v>
      </c>
      <c r="AD7" s="75">
        <f>IF(OR(B7&lt;Dane_kredytowe!F$15,Dane_kredytowe!F$15=""),-F7+S7,0)</f>
        <v>0</v>
      </c>
      <c r="AE7" s="75">
        <f t="shared" si="5"/>
        <v>0</v>
      </c>
      <c r="AG7" s="22">
        <f>Dane_kredytowe!F$17-SUM(AI$5:AI6)+SUM(W7:W$42)-SUM(X7:X$42)</f>
        <v>95134.46</v>
      </c>
      <c r="AH7" s="22">
        <f t="shared" si="6"/>
        <v>0</v>
      </c>
      <c r="AI7" s="22">
        <f t="shared" si="7"/>
        <v>0</v>
      </c>
      <c r="AJ7" s="22">
        <f t="shared" si="35"/>
        <v>0</v>
      </c>
      <c r="AK7" s="22">
        <f t="shared" si="8"/>
        <v>0</v>
      </c>
      <c r="AL7" s="22">
        <f>Dane_kredytowe!F$8-SUM(AN$5:AN6)+SUM(R6:R$42)-SUM(S7:S$42)</f>
        <v>300000</v>
      </c>
      <c r="AM7" s="22">
        <f t="shared" si="9"/>
        <v>0</v>
      </c>
      <c r="AN7" s="22">
        <f t="shared" si="10"/>
        <v>0</v>
      </c>
      <c r="AO7" s="22">
        <f t="shared" si="36"/>
        <v>0</v>
      </c>
      <c r="AP7" s="22">
        <f t="shared" si="37"/>
        <v>0</v>
      </c>
      <c r="AR7" s="87">
        <f t="shared" si="11"/>
        <v>37316</v>
      </c>
      <c r="AS7" s="23">
        <f>AS$5+SUM(AV$5:AV6)-SUM(X$5:X7)+SUM(W$5:W7)</f>
        <v>139056.27143784185</v>
      </c>
      <c r="AT7" s="22">
        <f t="shared" si="12"/>
        <v>0</v>
      </c>
      <c r="AU7" s="22">
        <f>IF(AB7=1,IF(Q7="tak",AT7,PMT(M7/12,P7+1-SUM(AB$5:AB7),AS7)),0)</f>
        <v>0</v>
      </c>
      <c r="AV7" s="22">
        <f t="shared" si="38"/>
        <v>0</v>
      </c>
      <c r="AW7" s="22">
        <f t="shared" si="13"/>
        <v>0</v>
      </c>
      <c r="AY7" s="23">
        <f>AY$5+SUM(BA$5:BA6)+SUM(W$5:W6)-SUM(X$5:X6)</f>
        <v>139056.27143784185</v>
      </c>
      <c r="AZ7" s="23">
        <f t="shared" si="14"/>
        <v>0</v>
      </c>
      <c r="BA7" s="23">
        <f t="shared" si="15"/>
        <v>0</v>
      </c>
      <c r="BB7" s="23">
        <f t="shared" si="39"/>
        <v>0</v>
      </c>
      <c r="BC7" s="23">
        <f t="shared" si="16"/>
        <v>0</v>
      </c>
      <c r="BE7" s="88">
        <f t="shared" si="17"/>
        <v>0.1019</v>
      </c>
      <c r="BF7" s="89">
        <f>BE7+Dane_kredytowe!F$12</f>
        <v>0.13190000000000002</v>
      </c>
      <c r="BG7" s="23">
        <f>BG$5+SUM(BH$5:BH6)+SUM(R$5:R5)-SUM(S$5:S6)</f>
        <v>300000</v>
      </c>
      <c r="BH7" s="22">
        <f t="shared" si="40"/>
        <v>0</v>
      </c>
      <c r="BI7" s="22">
        <f t="shared" si="41"/>
        <v>0</v>
      </c>
      <c r="BJ7" s="22">
        <f>IF(U7&lt;0,PMT(BF7/12,Dane_kredytowe!F$13-SUM(AB$5:AB7)+1,BG7),0)</f>
        <v>0</v>
      </c>
      <c r="BL7" s="23">
        <f>BL$5+SUM(BN$5:BN6)+SUM(R$5:R5)-SUM(S$5:S6)</f>
        <v>300000</v>
      </c>
      <c r="BM7" s="23">
        <f t="shared" si="18"/>
        <v>0</v>
      </c>
      <c r="BN7" s="23">
        <f t="shared" si="19"/>
        <v>0</v>
      </c>
      <c r="BO7" s="23">
        <f t="shared" si="20"/>
        <v>0</v>
      </c>
      <c r="BQ7" s="89">
        <f t="shared" si="42"/>
        <v>0.11860000000000001</v>
      </c>
      <c r="BR7" s="23">
        <f>BR$5+SUM(BS$5:BS6)+SUM(R$5:R5)-SUM(S$5:S6)+SUM(BV$5:BV6)</f>
        <v>300000</v>
      </c>
      <c r="BS7" s="22">
        <f t="shared" ref="BS7:BS70" si="49">IF(BU7&lt;0,BU7-BT7,0)</f>
        <v>0</v>
      </c>
      <c r="BT7" s="22">
        <f t="shared" ref="BT7:BT70" si="50">IF(BU7&lt;0,-BR7*BQ7/12,0)</f>
        <v>0</v>
      </c>
      <c r="BU7" s="22">
        <f>IF(U7&lt;0,PMT(BQ7/12,Dane_kredytowe!F$13-SUM(AB$5:AB7)+1,BR7),0)</f>
        <v>0</v>
      </c>
      <c r="BV7" s="22">
        <f t="shared" si="43"/>
        <v>0</v>
      </c>
      <c r="BX7" s="23">
        <f>BX$5+SUM(BZ$5:BZ6)+SUM(R$5:R5)-SUM(S$5:S6)+SUM(CB$5,CB6)</f>
        <v>300000</v>
      </c>
      <c r="BY7" s="22">
        <f t="shared" si="21"/>
        <v>0</v>
      </c>
      <c r="BZ7" s="22">
        <f t="shared" si="22"/>
        <v>0</v>
      </c>
      <c r="CA7" s="22">
        <f t="shared" ref="CA7:CA70" si="51">BZ7+BY7</f>
        <v>0</v>
      </c>
      <c r="CB7" s="22">
        <f t="shared" ref="CB7:CB70" si="52">$F7-CA7</f>
        <v>0</v>
      </c>
      <c r="CD7" s="22">
        <f>CD$5+SUM(CE$5:CE6)+SUM(R$5:R5)-SUM(S$5:S6)-SUM(CF$5:CF6)</f>
        <v>300000</v>
      </c>
      <c r="CE7" s="22">
        <f t="shared" si="44"/>
        <v>0</v>
      </c>
      <c r="CF7" s="22">
        <f t="shared" si="23"/>
        <v>0</v>
      </c>
      <c r="CG7" s="22">
        <f t="shared" si="45"/>
        <v>0</v>
      </c>
      <c r="CI7" s="89">
        <f t="shared" si="24"/>
        <v>0.95430000000000004</v>
      </c>
      <c r="CJ7" s="22">
        <f t="shared" si="25"/>
        <v>0</v>
      </c>
      <c r="CK7" s="15">
        <f t="shared" si="46"/>
        <v>0</v>
      </c>
      <c r="CM7" s="22">
        <f t="shared" si="47"/>
        <v>0</v>
      </c>
      <c r="CN7" s="15">
        <f t="shared" ref="CN7:CN70" si="53">CM7*BE7/12</f>
        <v>0</v>
      </c>
    </row>
    <row r="8" spans="1:92">
      <c r="A8" s="25"/>
      <c r="B8" s="90">
        <v>37347</v>
      </c>
      <c r="C8" s="81">
        <f t="shared" si="0"/>
        <v>2.4517000000000002</v>
      </c>
      <c r="D8" s="82">
        <f t="shared" si="48"/>
        <v>2.5252510000000004</v>
      </c>
      <c r="E8" s="73">
        <f t="shared" si="26"/>
        <v>0</v>
      </c>
      <c r="F8" s="19">
        <f t="shared" si="27"/>
        <v>0</v>
      </c>
      <c r="G8" s="19">
        <f t="shared" si="28"/>
        <v>0</v>
      </c>
      <c r="H8" s="19">
        <f t="shared" si="29"/>
        <v>0</v>
      </c>
      <c r="I8" s="62"/>
      <c r="J8" s="15" t="str">
        <f t="shared" si="30"/>
        <v xml:space="preserve"> </v>
      </c>
      <c r="K8" s="15">
        <f>IF(B8&lt;=Dane_kredytowe!F$9,0,K7+1)</f>
        <v>0</v>
      </c>
      <c r="L8" s="83">
        <f t="shared" si="1"/>
        <v>1.6282999999999999E-2</v>
      </c>
      <c r="M8" s="84">
        <f>L8+Dane_kredytowe!F$12</f>
        <v>4.6282999999999998E-2</v>
      </c>
      <c r="N8" s="79">
        <f>MAX(Dane_kredytowe!F$17+SUM(AA$5:AA7)-SUM(X$5:X8)+SUM(W$5:W8),0)</f>
        <v>95134.46</v>
      </c>
      <c r="O8" s="85">
        <f>MAX(Dane_kredytowe!F$8+SUM(V$5:V7)-SUM(S$5:S8)+SUM(R$5:R7),0)</f>
        <v>300000</v>
      </c>
      <c r="P8" s="67">
        <f t="shared" si="31"/>
        <v>360</v>
      </c>
      <c r="Q8" s="127" t="str">
        <f>IF(AND(K8&gt;0,K8&lt;=Dane_kredytowe!F$16),"tak","nie")</f>
        <v>nie</v>
      </c>
      <c r="R8" s="69"/>
      <c r="S8" s="86">
        <f>IF(Dane_kredytowe!F$19=B8,O7+V7,_xlfn.XLOOKUP(B8,Dane_kredytowe!M$9:M$18,Dane_kredytowe!N$9:N$18,0))</f>
        <v>0</v>
      </c>
      <c r="T8" s="71">
        <f t="shared" si="2"/>
        <v>0</v>
      </c>
      <c r="U8" s="72">
        <f>IF(Q8="tak",T8,IF(P8-SUM(AB$5:AB8)+1&gt;0,IF(Dane_kredytowe!F$9&lt;B8,IF(SUM(AB$5:AB8)-Dane_kredytowe!F$16+1&gt;0,PMT(M8/12,P8+1-SUM(AB$5:AB8),O8),T8),0),0))</f>
        <v>0</v>
      </c>
      <c r="V8" s="72">
        <f t="shared" si="32"/>
        <v>0</v>
      </c>
      <c r="W8" s="19" t="str">
        <f t="shared" si="33"/>
        <v xml:space="preserve"> </v>
      </c>
      <c r="X8" s="19">
        <f t="shared" si="3"/>
        <v>0</v>
      </c>
      <c r="Y8" s="73">
        <f t="shared" si="4"/>
        <v>0</v>
      </c>
      <c r="Z8" s="19">
        <f>IF(P8-SUM(AB$5:AB8)+1&gt;0,IF(Dane_kredytowe!F$9&lt;B8,IF(SUM(AB$5:AB8)-Dane_kredytowe!F$16+1&gt;0,PMT(M8/12,P8+1-SUM(AB$5:AB8),N8),Y8),0),0)</f>
        <v>0</v>
      </c>
      <c r="AA8" s="19">
        <f t="shared" si="34"/>
        <v>0</v>
      </c>
      <c r="AB8" s="20" t="str">
        <f>IF(AND(Dane_kredytowe!F$9&lt;B8,SUM(AB$5:AB7)&lt;P7),1," ")</f>
        <v xml:space="preserve"> </v>
      </c>
      <c r="AD8" s="75">
        <f>IF(OR(B8&lt;Dane_kredytowe!F$15,Dane_kredytowe!F$15=""),-F8+S8,0)</f>
        <v>0</v>
      </c>
      <c r="AE8" s="75">
        <f t="shared" si="5"/>
        <v>0</v>
      </c>
      <c r="AG8" s="22">
        <f>Dane_kredytowe!F$17-SUM(AI$5:AI7)+SUM(W8:W$42)-SUM(X8:X$42)</f>
        <v>95134.46</v>
      </c>
      <c r="AH8" s="22">
        <f t="shared" si="6"/>
        <v>0</v>
      </c>
      <c r="AI8" s="22">
        <f t="shared" si="7"/>
        <v>0</v>
      </c>
      <c r="AJ8" s="22">
        <f t="shared" si="35"/>
        <v>0</v>
      </c>
      <c r="AK8" s="22">
        <f t="shared" si="8"/>
        <v>0</v>
      </c>
      <c r="AL8" s="22">
        <f>Dane_kredytowe!F$8-SUM(AN$5:AN7)+SUM(R7:R$42)-SUM(S8:S$42)</f>
        <v>300000</v>
      </c>
      <c r="AM8" s="22">
        <f t="shared" si="9"/>
        <v>0</v>
      </c>
      <c r="AN8" s="22">
        <f t="shared" si="10"/>
        <v>0</v>
      </c>
      <c r="AO8" s="22">
        <f t="shared" si="36"/>
        <v>0</v>
      </c>
      <c r="AP8" s="22">
        <f t="shared" si="37"/>
        <v>0</v>
      </c>
      <c r="AR8" s="87">
        <f t="shared" si="11"/>
        <v>37347</v>
      </c>
      <c r="AS8" s="23">
        <f>AS$5+SUM(AV$5:AV7)-SUM(X$5:X8)+SUM(W$5:W8)</f>
        <v>139056.27143784185</v>
      </c>
      <c r="AT8" s="22">
        <f t="shared" si="12"/>
        <v>0</v>
      </c>
      <c r="AU8" s="22">
        <f>IF(AB8=1,IF(Q8="tak",AT8,PMT(M8/12,P8+1-SUM(AB$5:AB8),AS8)),0)</f>
        <v>0</v>
      </c>
      <c r="AV8" s="22">
        <f t="shared" si="38"/>
        <v>0</v>
      </c>
      <c r="AW8" s="22">
        <f t="shared" si="13"/>
        <v>0</v>
      </c>
      <c r="AY8" s="23">
        <f>AY$5+SUM(BA$5:BA7)+SUM(W$5:W7)-SUM(X$5:X7)</f>
        <v>139056.27143784185</v>
      </c>
      <c r="AZ8" s="23">
        <f t="shared" si="14"/>
        <v>0</v>
      </c>
      <c r="BA8" s="23">
        <f t="shared" si="15"/>
        <v>0</v>
      </c>
      <c r="BB8" s="23">
        <f t="shared" si="39"/>
        <v>0</v>
      </c>
      <c r="BC8" s="23">
        <f t="shared" si="16"/>
        <v>0</v>
      </c>
      <c r="BE8" s="88">
        <f t="shared" si="17"/>
        <v>0.10340000000000001</v>
      </c>
      <c r="BF8" s="89">
        <f>BE8+Dane_kredytowe!F$12</f>
        <v>0.13340000000000002</v>
      </c>
      <c r="BG8" s="23">
        <f>BG$5+SUM(BH$5:BH7)+SUM(R$5:R7)-SUM(S$5:S7)</f>
        <v>300000</v>
      </c>
      <c r="BH8" s="22">
        <f t="shared" si="40"/>
        <v>0</v>
      </c>
      <c r="BI8" s="22">
        <f t="shared" si="41"/>
        <v>0</v>
      </c>
      <c r="BJ8" s="22">
        <f>IF(U8&lt;0,PMT(BF8/12,Dane_kredytowe!F$13-SUM(AB$5:AB8)+1,BG8),0)</f>
        <v>0</v>
      </c>
      <c r="BL8" s="23">
        <f>BL$5+SUM(BN$5:BN7)+SUM(R$5:R7)-SUM(S$5:S7)</f>
        <v>300000</v>
      </c>
      <c r="BM8" s="23">
        <f t="shared" si="18"/>
        <v>0</v>
      </c>
      <c r="BN8" s="23">
        <f t="shared" si="19"/>
        <v>0</v>
      </c>
      <c r="BO8" s="23">
        <f t="shared" si="20"/>
        <v>0</v>
      </c>
      <c r="BQ8" s="89">
        <f t="shared" si="42"/>
        <v>0.12010000000000001</v>
      </c>
      <c r="BR8" s="23">
        <f>BR$5+SUM(BS$5:BS7)+SUM(R$5:R7)-SUM(S$5:S7)+SUM(BV$5:BV7)</f>
        <v>300000</v>
      </c>
      <c r="BS8" s="22">
        <f t="shared" si="49"/>
        <v>0</v>
      </c>
      <c r="BT8" s="22">
        <f t="shared" si="50"/>
        <v>0</v>
      </c>
      <c r="BU8" s="22">
        <f>IF(U8&lt;0,PMT(BQ8/12,Dane_kredytowe!F$13-SUM(AB$5:AB8)+1,BR8),0)</f>
        <v>0</v>
      </c>
      <c r="BV8" s="22">
        <f t="shared" si="43"/>
        <v>0</v>
      </c>
      <c r="BX8" s="23">
        <f>BX$5+SUM(BZ$5:BZ7)+SUM(R$5:R7)-SUM(S$5:S7)+SUM(CB$5,CB7)</f>
        <v>300000</v>
      </c>
      <c r="BY8" s="22">
        <f t="shared" si="21"/>
        <v>0</v>
      </c>
      <c r="BZ8" s="22">
        <f t="shared" si="22"/>
        <v>0</v>
      </c>
      <c r="CA8" s="22">
        <f t="shared" si="51"/>
        <v>0</v>
      </c>
      <c r="CB8" s="22">
        <f t="shared" si="52"/>
        <v>0</v>
      </c>
      <c r="CD8" s="22">
        <f>CD$5+SUM(CE$5:CE7)+SUM(R$5:R7)-SUM(S$5:S7)-SUM(CF$5:CF7)</f>
        <v>300000</v>
      </c>
      <c r="CE8" s="22">
        <f t="shared" si="44"/>
        <v>0</v>
      </c>
      <c r="CF8" s="22">
        <f t="shared" si="23"/>
        <v>0</v>
      </c>
      <c r="CG8" s="22">
        <f t="shared" si="45"/>
        <v>0</v>
      </c>
      <c r="CI8" s="89">
        <f t="shared" si="24"/>
        <v>0.94450000000000001</v>
      </c>
      <c r="CJ8" s="22">
        <f t="shared" si="25"/>
        <v>0</v>
      </c>
      <c r="CK8" s="15">
        <f t="shared" si="46"/>
        <v>0</v>
      </c>
      <c r="CM8" s="22">
        <f t="shared" si="47"/>
        <v>0</v>
      </c>
      <c r="CN8" s="15">
        <f t="shared" si="53"/>
        <v>0</v>
      </c>
    </row>
    <row r="9" spans="1:92">
      <c r="A9" s="25"/>
      <c r="B9" s="90">
        <v>37377</v>
      </c>
      <c r="C9" s="81">
        <f t="shared" si="0"/>
        <v>2.5421999999999998</v>
      </c>
      <c r="D9" s="82">
        <f t="shared" si="48"/>
        <v>2.6184659999999997</v>
      </c>
      <c r="E9" s="73">
        <f t="shared" si="26"/>
        <v>0</v>
      </c>
      <c r="F9" s="19">
        <f t="shared" si="27"/>
        <v>0</v>
      </c>
      <c r="G9" s="19">
        <f t="shared" si="28"/>
        <v>0</v>
      </c>
      <c r="H9" s="19">
        <f t="shared" si="29"/>
        <v>0</v>
      </c>
      <c r="I9" s="62"/>
      <c r="J9" s="15" t="str">
        <f t="shared" si="30"/>
        <v xml:space="preserve"> </v>
      </c>
      <c r="K9" s="15">
        <f>IF(B9&lt;=Dane_kredytowe!F$9,0,K8+1)</f>
        <v>0</v>
      </c>
      <c r="L9" s="83">
        <f t="shared" si="1"/>
        <v>1.4999999999999999E-2</v>
      </c>
      <c r="M9" s="84">
        <f>L9+Dane_kredytowe!F$12</f>
        <v>4.4999999999999998E-2</v>
      </c>
      <c r="N9" s="79">
        <f>MAX(Dane_kredytowe!F$17+SUM(AA$5:AA8)-SUM(X$5:X9)+SUM(W$5:W9),0)</f>
        <v>95134.46</v>
      </c>
      <c r="O9" s="85">
        <f>MAX(Dane_kredytowe!F$8+SUM(V$5:V8)-SUM(S$5:S9)+SUM(R$5:R8),0)</f>
        <v>300000</v>
      </c>
      <c r="P9" s="67">
        <f t="shared" si="31"/>
        <v>360</v>
      </c>
      <c r="Q9" s="127" t="str">
        <f>IF(AND(K9&gt;0,K9&lt;=Dane_kredytowe!F$16),"tak","nie")</f>
        <v>nie</v>
      </c>
      <c r="R9" s="69"/>
      <c r="S9" s="86">
        <f>IF(Dane_kredytowe!F$19=B9,O8+V8,_xlfn.XLOOKUP(B9,Dane_kredytowe!M$9:M$18,Dane_kredytowe!N$9:N$18,0))</f>
        <v>0</v>
      </c>
      <c r="T9" s="71">
        <f t="shared" si="2"/>
        <v>0</v>
      </c>
      <c r="U9" s="72">
        <f>IF(Q9="tak",T9,IF(P9-SUM(AB$5:AB9)+1&gt;0,IF(Dane_kredytowe!F$9&lt;B9,IF(SUM(AB$5:AB9)-Dane_kredytowe!F$16+1&gt;0,PMT(M9/12,P9+1-SUM(AB$5:AB9),O9),T9),0),0))</f>
        <v>0</v>
      </c>
      <c r="V9" s="72">
        <f t="shared" si="32"/>
        <v>0</v>
      </c>
      <c r="W9" s="19" t="str">
        <f t="shared" si="33"/>
        <v xml:space="preserve"> </v>
      </c>
      <c r="X9" s="19">
        <f t="shared" si="3"/>
        <v>0</v>
      </c>
      <c r="Y9" s="73">
        <f t="shared" si="4"/>
        <v>0</v>
      </c>
      <c r="Z9" s="19">
        <f>IF(P9-SUM(AB$5:AB9)+1&gt;0,IF(Dane_kredytowe!F$9&lt;B9,IF(SUM(AB$5:AB9)-Dane_kredytowe!F$16+1&gt;0,PMT(M9/12,P9+1-SUM(AB$5:AB9),N9),Y9),0),0)</f>
        <v>0</v>
      </c>
      <c r="AA9" s="19">
        <f t="shared" si="34"/>
        <v>0</v>
      </c>
      <c r="AB9" s="20" t="str">
        <f>IF(AND(Dane_kredytowe!F$9&lt;B9,SUM(AB$5:AB8)&lt;P8),1," ")</f>
        <v xml:space="preserve"> </v>
      </c>
      <c r="AD9" s="75">
        <f>IF(OR(B9&lt;Dane_kredytowe!F$15,Dane_kredytowe!F$15=""),-F9+S9,0)</f>
        <v>0</v>
      </c>
      <c r="AE9" s="75">
        <f t="shared" si="5"/>
        <v>0</v>
      </c>
      <c r="AG9" s="22">
        <f>Dane_kredytowe!F$17-SUM(AI$5:AI8)+SUM(W9:W$42)-SUM(X9:X$42)</f>
        <v>95134.46</v>
      </c>
      <c r="AH9" s="22">
        <f t="shared" si="6"/>
        <v>0</v>
      </c>
      <c r="AI9" s="22">
        <f t="shared" si="7"/>
        <v>0</v>
      </c>
      <c r="AJ9" s="22">
        <f t="shared" si="35"/>
        <v>0</v>
      </c>
      <c r="AK9" s="22">
        <f t="shared" si="8"/>
        <v>0</v>
      </c>
      <c r="AL9" s="22">
        <f>Dane_kredytowe!F$8-SUM(AN$5:AN8)+SUM(R8:R$42)-SUM(S9:S$42)</f>
        <v>300000</v>
      </c>
      <c r="AM9" s="22">
        <f t="shared" si="9"/>
        <v>0</v>
      </c>
      <c r="AN9" s="22">
        <f t="shared" si="10"/>
        <v>0</v>
      </c>
      <c r="AO9" s="22">
        <f t="shared" si="36"/>
        <v>0</v>
      </c>
      <c r="AP9" s="22">
        <f t="shared" si="37"/>
        <v>0</v>
      </c>
      <c r="AR9" s="87">
        <f t="shared" si="11"/>
        <v>37377</v>
      </c>
      <c r="AS9" s="23">
        <f>AS$5+SUM(AV$5:AV8)-SUM(X$5:X9)+SUM(W$5:W9)</f>
        <v>139056.27143784185</v>
      </c>
      <c r="AT9" s="22">
        <f t="shared" si="12"/>
        <v>0</v>
      </c>
      <c r="AU9" s="22">
        <f>IF(AB9=1,IF(Q9="tak",AT9,PMT(M9/12,P9+1-SUM(AB$5:AB9),AS9)),0)</f>
        <v>0</v>
      </c>
      <c r="AV9" s="22">
        <f t="shared" si="38"/>
        <v>0</v>
      </c>
      <c r="AW9" s="22">
        <f t="shared" si="13"/>
        <v>0</v>
      </c>
      <c r="AY9" s="23">
        <f>AY$5+SUM(BA$5:BA8)+SUM(W$5:W8)-SUM(X$5:X8)</f>
        <v>139056.27143784185</v>
      </c>
      <c r="AZ9" s="23">
        <f t="shared" si="14"/>
        <v>0</v>
      </c>
      <c r="BA9" s="23">
        <f t="shared" si="15"/>
        <v>0</v>
      </c>
      <c r="BB9" s="23">
        <f t="shared" si="39"/>
        <v>0</v>
      </c>
      <c r="BC9" s="23">
        <f t="shared" si="16"/>
        <v>0</v>
      </c>
      <c r="BE9" s="88">
        <f t="shared" si="17"/>
        <v>0.10100000000000001</v>
      </c>
      <c r="BF9" s="89">
        <f>BE9+Dane_kredytowe!F$12</f>
        <v>0.13100000000000001</v>
      </c>
      <c r="BG9" s="23">
        <f>BG$5+SUM(BH$5:BH8)+SUM(R$5:R8)-SUM(S$5:S8)</f>
        <v>300000</v>
      </c>
      <c r="BH9" s="22">
        <f t="shared" si="40"/>
        <v>0</v>
      </c>
      <c r="BI9" s="22">
        <f t="shared" si="41"/>
        <v>0</v>
      </c>
      <c r="BJ9" s="22">
        <f>IF(U9&lt;0,PMT(BF9/12,Dane_kredytowe!F$13-SUM(AB$5:AB9)+1,BG9),0)</f>
        <v>0</v>
      </c>
      <c r="BL9" s="23">
        <f>BL$5+SUM(BN$5:BN8)+SUM(R$5:R8)-SUM(S$5:S8)</f>
        <v>300000</v>
      </c>
      <c r="BM9" s="23">
        <f t="shared" si="18"/>
        <v>0</v>
      </c>
      <c r="BN9" s="23">
        <f t="shared" si="19"/>
        <v>0</v>
      </c>
      <c r="BO9" s="23">
        <f t="shared" si="20"/>
        <v>0</v>
      </c>
      <c r="BQ9" s="89">
        <f t="shared" si="42"/>
        <v>0.1177</v>
      </c>
      <c r="BR9" s="23">
        <f>BR$5+SUM(BS$5:BS8)+SUM(R$5:R8)-SUM(S$5:S8)+SUM(BV$5:BV8)</f>
        <v>300000</v>
      </c>
      <c r="BS9" s="22">
        <f t="shared" si="49"/>
        <v>0</v>
      </c>
      <c r="BT9" s="22">
        <f t="shared" si="50"/>
        <v>0</v>
      </c>
      <c r="BU9" s="22">
        <f>IF(U9&lt;0,PMT(BQ9/12,Dane_kredytowe!F$13-SUM(AB$5:AB9)+1,BR9),0)</f>
        <v>0</v>
      </c>
      <c r="BV9" s="22">
        <f t="shared" si="43"/>
        <v>0</v>
      </c>
      <c r="BX9" s="23">
        <f>BX$5+SUM(BZ$5:BZ8)+SUM(R$5:R8)-SUM(S$5:S8)+SUM(CB$5,CB8)</f>
        <v>300000</v>
      </c>
      <c r="BY9" s="22">
        <f t="shared" si="21"/>
        <v>0</v>
      </c>
      <c r="BZ9" s="22">
        <f t="shared" si="22"/>
        <v>0</v>
      </c>
      <c r="CA9" s="22">
        <f t="shared" si="51"/>
        <v>0</v>
      </c>
      <c r="CB9" s="22">
        <f t="shared" si="52"/>
        <v>0</v>
      </c>
      <c r="CD9" s="22">
        <f>CD$5+SUM(CE$5:CE8)+SUM(R$5:R8)-SUM(S$5:S8)-SUM(CF$5:CF8)</f>
        <v>300000</v>
      </c>
      <c r="CE9" s="22">
        <f t="shared" si="44"/>
        <v>0</v>
      </c>
      <c r="CF9" s="22">
        <f t="shared" si="23"/>
        <v>0</v>
      </c>
      <c r="CG9" s="22">
        <f t="shared" si="45"/>
        <v>0</v>
      </c>
      <c r="CI9" s="89">
        <f t="shared" si="24"/>
        <v>0.94840000000000002</v>
      </c>
      <c r="CJ9" s="22">
        <f t="shared" si="25"/>
        <v>0</v>
      </c>
      <c r="CK9" s="15">
        <f t="shared" si="46"/>
        <v>0</v>
      </c>
      <c r="CM9" s="22">
        <f t="shared" si="47"/>
        <v>0</v>
      </c>
      <c r="CN9" s="15">
        <f t="shared" si="53"/>
        <v>0</v>
      </c>
    </row>
    <row r="10" spans="1:92">
      <c r="A10" s="25"/>
      <c r="B10" s="90">
        <v>37408</v>
      </c>
      <c r="C10" s="81">
        <f t="shared" si="0"/>
        <v>2.6149</v>
      </c>
      <c r="D10" s="82">
        <f t="shared" si="48"/>
        <v>2.6933470000000002</v>
      </c>
      <c r="E10" s="73">
        <f t="shared" si="26"/>
        <v>0</v>
      </c>
      <c r="F10" s="19">
        <f t="shared" si="27"/>
        <v>0</v>
      </c>
      <c r="G10" s="19">
        <f t="shared" si="28"/>
        <v>0</v>
      </c>
      <c r="H10" s="19">
        <f t="shared" si="29"/>
        <v>0</v>
      </c>
      <c r="I10" s="62"/>
      <c r="J10" s="15" t="str">
        <f t="shared" si="30"/>
        <v xml:space="preserve"> </v>
      </c>
      <c r="K10" s="15">
        <f>IF(B10&lt;=Dane_kredytowe!F$9,0,K9+1)</f>
        <v>0</v>
      </c>
      <c r="L10" s="83">
        <f t="shared" si="1"/>
        <v>1.2533000000000001E-2</v>
      </c>
      <c r="M10" s="84">
        <f>L10+Dane_kredytowe!F$12</f>
        <v>4.2533000000000001E-2</v>
      </c>
      <c r="N10" s="79">
        <f>MAX(Dane_kredytowe!F$17+SUM(AA$5:AA9)-SUM(X$5:X10)+SUM(W$5:W10),0)</f>
        <v>95134.46</v>
      </c>
      <c r="O10" s="85">
        <f>MAX(Dane_kredytowe!F$8+SUM(V$5:V9)-SUM(S$5:S10)+SUM(R$5:R9),0)</f>
        <v>300000</v>
      </c>
      <c r="P10" s="67">
        <f t="shared" si="31"/>
        <v>360</v>
      </c>
      <c r="Q10" s="127" t="str">
        <f>IF(AND(K10&gt;0,K10&lt;=Dane_kredytowe!F$16),"tak","nie")</f>
        <v>nie</v>
      </c>
      <c r="R10" s="69"/>
      <c r="S10" s="86">
        <f>IF(Dane_kredytowe!F$19=B10,O9+V9,_xlfn.XLOOKUP(B10,Dane_kredytowe!M$9:M$18,Dane_kredytowe!N$9:N$18,0))</f>
        <v>0</v>
      </c>
      <c r="T10" s="71">
        <f t="shared" si="2"/>
        <v>0</v>
      </c>
      <c r="U10" s="72">
        <f>IF(Q10="tak",T10,IF(P10-SUM(AB$5:AB10)+1&gt;0,IF(Dane_kredytowe!F$9&lt;B10,IF(SUM(AB$5:AB10)-Dane_kredytowe!F$16+1&gt;0,PMT(M10/12,P10+1-SUM(AB$5:AB10),O10),T10),0),0))</f>
        <v>0</v>
      </c>
      <c r="V10" s="72">
        <f t="shared" si="32"/>
        <v>0</v>
      </c>
      <c r="W10" s="19" t="str">
        <f t="shared" si="33"/>
        <v xml:space="preserve"> </v>
      </c>
      <c r="X10" s="19">
        <f t="shared" si="3"/>
        <v>0</v>
      </c>
      <c r="Y10" s="73">
        <f t="shared" si="4"/>
        <v>0</v>
      </c>
      <c r="Z10" s="19">
        <f>IF(P10-SUM(AB$5:AB10)+1&gt;0,IF(Dane_kredytowe!F$9&lt;B10,IF(SUM(AB$5:AB10)-Dane_kredytowe!F$16+1&gt;0,PMT(M10/12,P10+1-SUM(AB$5:AB10),N10),Y10),0),0)</f>
        <v>0</v>
      </c>
      <c r="AA10" s="19">
        <f t="shared" si="34"/>
        <v>0</v>
      </c>
      <c r="AB10" s="20" t="str">
        <f>IF(AND(Dane_kredytowe!F$9&lt;B10,SUM(AB$5:AB9)&lt;P9),1," ")</f>
        <v xml:space="preserve"> </v>
      </c>
      <c r="AD10" s="75">
        <f>IF(OR(B10&lt;Dane_kredytowe!F$15,Dane_kredytowe!F$15=""),-F10+S10,0)</f>
        <v>0</v>
      </c>
      <c r="AE10" s="75">
        <f t="shared" si="5"/>
        <v>0</v>
      </c>
      <c r="AG10" s="22">
        <f>Dane_kredytowe!F$17-SUM(AI$5:AI9)+SUM(W10:W$42)-SUM(X10:X$42)</f>
        <v>95134.46</v>
      </c>
      <c r="AH10" s="22">
        <f t="shared" si="6"/>
        <v>0</v>
      </c>
      <c r="AI10" s="22">
        <f t="shared" si="7"/>
        <v>0</v>
      </c>
      <c r="AJ10" s="22">
        <f t="shared" si="35"/>
        <v>0</v>
      </c>
      <c r="AK10" s="22">
        <f t="shared" si="8"/>
        <v>0</v>
      </c>
      <c r="AL10" s="22">
        <f>Dane_kredytowe!F$8-SUM(AN$5:AN9)+SUM(R9:R$42)-SUM(S10:S$42)</f>
        <v>300000</v>
      </c>
      <c r="AM10" s="22">
        <f t="shared" si="9"/>
        <v>0</v>
      </c>
      <c r="AN10" s="22">
        <f t="shared" si="10"/>
        <v>0</v>
      </c>
      <c r="AO10" s="22">
        <f t="shared" si="36"/>
        <v>0</v>
      </c>
      <c r="AP10" s="22">
        <f t="shared" si="37"/>
        <v>0</v>
      </c>
      <c r="AR10" s="87">
        <f t="shared" si="11"/>
        <v>37408</v>
      </c>
      <c r="AS10" s="23">
        <f>AS$5+SUM(AV$5:AV9)-SUM(X$5:X10)+SUM(W$5:W10)</f>
        <v>139056.27143784185</v>
      </c>
      <c r="AT10" s="22">
        <f t="shared" si="12"/>
        <v>0</v>
      </c>
      <c r="AU10" s="22">
        <f>IF(AB10=1,IF(Q10="tak",AT10,PMT(M10/12,P10+1-SUM(AB$5:AB10),AS10)),0)</f>
        <v>0</v>
      </c>
      <c r="AV10" s="22">
        <f t="shared" si="38"/>
        <v>0</v>
      </c>
      <c r="AW10" s="22">
        <f t="shared" si="13"/>
        <v>0</v>
      </c>
      <c r="AY10" s="23">
        <f>AY$5+SUM(BA$5:BA9)+SUM(W$5:W9)-SUM(X$5:X9)</f>
        <v>139056.27143784185</v>
      </c>
      <c r="AZ10" s="23">
        <f t="shared" si="14"/>
        <v>0</v>
      </c>
      <c r="BA10" s="23">
        <f t="shared" si="15"/>
        <v>0</v>
      </c>
      <c r="BB10" s="23">
        <f t="shared" si="39"/>
        <v>0</v>
      </c>
      <c r="BC10" s="23">
        <f t="shared" si="16"/>
        <v>0</v>
      </c>
      <c r="BE10" s="88">
        <f t="shared" si="17"/>
        <v>9.6000000000000002E-2</v>
      </c>
      <c r="BF10" s="89">
        <f>BE10+Dane_kredytowe!F$12</f>
        <v>0.126</v>
      </c>
      <c r="BG10" s="23">
        <f>BG$5+SUM(BH$5:BH9)+SUM(R$5:R9)-SUM(S$5:S9)</f>
        <v>300000</v>
      </c>
      <c r="BH10" s="22">
        <f t="shared" si="40"/>
        <v>0</v>
      </c>
      <c r="BI10" s="22">
        <f t="shared" si="41"/>
        <v>0</v>
      </c>
      <c r="BJ10" s="22">
        <f>IF(U10&lt;0,PMT(BF10/12,Dane_kredytowe!F$13-SUM(AB$5:AB10)+1,BG10),0)</f>
        <v>0</v>
      </c>
      <c r="BL10" s="23">
        <f>BL$5+SUM(BN$5:BN9)+SUM(R$5:R9)-SUM(S$5:S9)</f>
        <v>300000</v>
      </c>
      <c r="BM10" s="23">
        <f t="shared" si="18"/>
        <v>0</v>
      </c>
      <c r="BN10" s="23">
        <f t="shared" si="19"/>
        <v>0</v>
      </c>
      <c r="BO10" s="23">
        <f t="shared" si="20"/>
        <v>0</v>
      </c>
      <c r="BQ10" s="89">
        <f t="shared" si="42"/>
        <v>0.11269999999999999</v>
      </c>
      <c r="BR10" s="23">
        <f>BR$5+SUM(BS$5:BS9)+SUM(R$5:R9)-SUM(S$5:S9)+SUM(BV$5:BV9)</f>
        <v>300000</v>
      </c>
      <c r="BS10" s="22">
        <f t="shared" si="49"/>
        <v>0</v>
      </c>
      <c r="BT10" s="22">
        <f t="shared" si="50"/>
        <v>0</v>
      </c>
      <c r="BU10" s="22">
        <f>IF(U10&lt;0,PMT(BQ10/12,Dane_kredytowe!F$13-SUM(AB$5:AB10)+1,BR10),0)</f>
        <v>0</v>
      </c>
      <c r="BV10" s="22">
        <f t="shared" si="43"/>
        <v>0</v>
      </c>
      <c r="BX10" s="23">
        <f>BX$5+SUM(BZ$5:BZ9)+SUM(R$5:R9)-SUM(S$5:S9)+SUM(CB$5,CB9)</f>
        <v>300000</v>
      </c>
      <c r="BY10" s="22">
        <f t="shared" si="21"/>
        <v>0</v>
      </c>
      <c r="BZ10" s="22">
        <f t="shared" si="22"/>
        <v>0</v>
      </c>
      <c r="CA10" s="22">
        <f t="shared" si="51"/>
        <v>0</v>
      </c>
      <c r="CB10" s="22">
        <f t="shared" si="52"/>
        <v>0</v>
      </c>
      <c r="CD10" s="22">
        <f>CD$5+SUM(CE$5:CE9)+SUM(R$5:R9)-SUM(S$5:S9)-SUM(CF$5:CF9)</f>
        <v>300000</v>
      </c>
      <c r="CE10" s="22">
        <f t="shared" si="44"/>
        <v>0</v>
      </c>
      <c r="CF10" s="22">
        <f t="shared" si="23"/>
        <v>0</v>
      </c>
      <c r="CG10" s="22">
        <f t="shared" si="45"/>
        <v>0</v>
      </c>
      <c r="CI10" s="89">
        <f t="shared" si="24"/>
        <v>0.95630000000000004</v>
      </c>
      <c r="CJ10" s="22">
        <f t="shared" si="25"/>
        <v>0</v>
      </c>
      <c r="CK10" s="15">
        <f t="shared" si="46"/>
        <v>0</v>
      </c>
      <c r="CM10" s="22">
        <f t="shared" si="47"/>
        <v>0</v>
      </c>
      <c r="CN10" s="15">
        <f t="shared" si="53"/>
        <v>0</v>
      </c>
    </row>
    <row r="11" spans="1:92">
      <c r="A11" s="25"/>
      <c r="B11" s="90">
        <v>37438</v>
      </c>
      <c r="C11" s="81">
        <f t="shared" si="0"/>
        <v>2.7957000000000001</v>
      </c>
      <c r="D11" s="82">
        <f t="shared" si="48"/>
        <v>2.8795710000000003</v>
      </c>
      <c r="E11" s="73">
        <f t="shared" si="26"/>
        <v>0</v>
      </c>
      <c r="F11" s="19">
        <f t="shared" si="27"/>
        <v>0</v>
      </c>
      <c r="G11" s="19">
        <f t="shared" si="28"/>
        <v>0</v>
      </c>
      <c r="H11" s="19">
        <f t="shared" si="29"/>
        <v>0</v>
      </c>
      <c r="I11" s="62"/>
      <c r="J11" s="15" t="str">
        <f t="shared" si="30"/>
        <v xml:space="preserve"> </v>
      </c>
      <c r="K11" s="15">
        <f>IF(B11&lt;=Dane_kredytowe!F$9,0,K10+1)</f>
        <v>0</v>
      </c>
      <c r="L11" s="83">
        <f t="shared" si="1"/>
        <v>1.2333E-2</v>
      </c>
      <c r="M11" s="84">
        <f>L11+Dane_kredytowe!F$12</f>
        <v>4.2332999999999996E-2</v>
      </c>
      <c r="N11" s="79">
        <f>MAX(Dane_kredytowe!F$17+SUM(AA$5:AA10)-SUM(X$5:X11)+SUM(W$5:W11),0)</f>
        <v>95134.46</v>
      </c>
      <c r="O11" s="85">
        <f>MAX(Dane_kredytowe!F$8+SUM(V$5:V10)-SUM(S$5:S11)+SUM(R$5:R10),0)</f>
        <v>300000</v>
      </c>
      <c r="P11" s="67">
        <f t="shared" si="31"/>
        <v>360</v>
      </c>
      <c r="Q11" s="127" t="str">
        <f>IF(AND(K11&gt;0,K11&lt;=Dane_kredytowe!F$16),"tak","nie")</f>
        <v>nie</v>
      </c>
      <c r="R11" s="69"/>
      <c r="S11" s="86">
        <f>IF(Dane_kredytowe!F$19=B11,O10+V10,_xlfn.XLOOKUP(B11,Dane_kredytowe!M$9:M$18,Dane_kredytowe!N$9:N$18,0))</f>
        <v>0</v>
      </c>
      <c r="T11" s="71">
        <f t="shared" si="2"/>
        <v>0</v>
      </c>
      <c r="U11" s="72">
        <f>IF(Q11="tak",T11,IF(P11-SUM(AB$5:AB11)+1&gt;0,IF(Dane_kredytowe!F$9&lt;B11,IF(SUM(AB$5:AB11)-Dane_kredytowe!F$16+1&gt;0,PMT(M11/12,P11+1-SUM(AB$5:AB11),O11),T11),0),0))</f>
        <v>0</v>
      </c>
      <c r="V11" s="72">
        <f t="shared" si="32"/>
        <v>0</v>
      </c>
      <c r="W11" s="19" t="str">
        <f t="shared" si="33"/>
        <v xml:space="preserve"> </v>
      </c>
      <c r="X11" s="19">
        <f t="shared" si="3"/>
        <v>0</v>
      </c>
      <c r="Y11" s="73">
        <f t="shared" si="4"/>
        <v>0</v>
      </c>
      <c r="Z11" s="19">
        <f>IF(P11-SUM(AB$5:AB11)+1&gt;0,IF(Dane_kredytowe!F$9&lt;B11,IF(SUM(AB$5:AB11)-Dane_kredytowe!F$16+1&gt;0,PMT(M11/12,P11+1-SUM(AB$5:AB11),N11),Y11),0),0)</f>
        <v>0</v>
      </c>
      <c r="AA11" s="19">
        <f t="shared" si="34"/>
        <v>0</v>
      </c>
      <c r="AB11" s="20" t="str">
        <f>IF(AND(Dane_kredytowe!F$9&lt;B11,SUM(AB$5:AB10)&lt;P10),1," ")</f>
        <v xml:space="preserve"> </v>
      </c>
      <c r="AD11" s="75">
        <f>IF(OR(B11&lt;Dane_kredytowe!F$15,Dane_kredytowe!F$15=""),-F11+S11,0)</f>
        <v>0</v>
      </c>
      <c r="AE11" s="75">
        <f t="shared" si="5"/>
        <v>0</v>
      </c>
      <c r="AG11" s="22">
        <f>Dane_kredytowe!F$17-SUM(AI$5:AI10)+SUM(W11:W$42)-SUM(X11:X$42)</f>
        <v>95134.46</v>
      </c>
      <c r="AH11" s="22">
        <f t="shared" si="6"/>
        <v>0</v>
      </c>
      <c r="AI11" s="22">
        <f t="shared" si="7"/>
        <v>0</v>
      </c>
      <c r="AJ11" s="22">
        <f t="shared" si="35"/>
        <v>0</v>
      </c>
      <c r="AK11" s="22">
        <f t="shared" si="8"/>
        <v>0</v>
      </c>
      <c r="AL11" s="22">
        <f>Dane_kredytowe!F$8-SUM(AN$5:AN10)+SUM(R10:R$42)-SUM(S11:S$42)</f>
        <v>300000</v>
      </c>
      <c r="AM11" s="22">
        <f t="shared" si="9"/>
        <v>0</v>
      </c>
      <c r="AN11" s="22">
        <f t="shared" si="10"/>
        <v>0</v>
      </c>
      <c r="AO11" s="22">
        <f t="shared" si="36"/>
        <v>0</v>
      </c>
      <c r="AP11" s="22">
        <f t="shared" si="37"/>
        <v>0</v>
      </c>
      <c r="AR11" s="87">
        <f t="shared" si="11"/>
        <v>37438</v>
      </c>
      <c r="AS11" s="23">
        <f>AS$5+SUM(AV$5:AV10)-SUM(X$5:X11)+SUM(W$5:W11)</f>
        <v>139056.27143784185</v>
      </c>
      <c r="AT11" s="22">
        <f t="shared" si="12"/>
        <v>0</v>
      </c>
      <c r="AU11" s="22">
        <f>IF(AB11=1,IF(Q11="tak",AT11,PMT(M11/12,P11+1-SUM(AB$5:AB11),AS11)),0)</f>
        <v>0</v>
      </c>
      <c r="AV11" s="22">
        <f t="shared" si="38"/>
        <v>0</v>
      </c>
      <c r="AW11" s="22">
        <f t="shared" si="13"/>
        <v>0</v>
      </c>
      <c r="AY11" s="23">
        <f>AY$5+SUM(BA$5:BA10)+SUM(W$5:W10)-SUM(X$5:X10)</f>
        <v>139056.27143784185</v>
      </c>
      <c r="AZ11" s="23">
        <f t="shared" si="14"/>
        <v>0</v>
      </c>
      <c r="BA11" s="23">
        <f t="shared" si="15"/>
        <v>0</v>
      </c>
      <c r="BB11" s="23">
        <f t="shared" si="39"/>
        <v>0</v>
      </c>
      <c r="BC11" s="23">
        <f t="shared" si="16"/>
        <v>0</v>
      </c>
      <c r="BE11" s="88">
        <f t="shared" si="17"/>
        <v>8.9300000000000004E-2</v>
      </c>
      <c r="BF11" s="89">
        <f>BE11+Dane_kredytowe!F$12</f>
        <v>0.1193</v>
      </c>
      <c r="BG11" s="23">
        <f>BG$5+SUM(BH$5:BH10)+SUM(R$5:R10)-SUM(S$5:S10)</f>
        <v>300000</v>
      </c>
      <c r="BH11" s="22">
        <f t="shared" si="40"/>
        <v>0</v>
      </c>
      <c r="BI11" s="22">
        <f t="shared" si="41"/>
        <v>0</v>
      </c>
      <c r="BJ11" s="22">
        <f>IF(U11&lt;0,PMT(BF11/12,Dane_kredytowe!F$13-SUM(AB$5:AB11)+1,BG11),0)</f>
        <v>0</v>
      </c>
      <c r="BL11" s="23">
        <f>BL$5+SUM(BN$5:BN10)+SUM(R$5:R10)-SUM(S$5:S10)</f>
        <v>300000</v>
      </c>
      <c r="BM11" s="23">
        <f t="shared" si="18"/>
        <v>0</v>
      </c>
      <c r="BN11" s="23">
        <f t="shared" si="19"/>
        <v>0</v>
      </c>
      <c r="BO11" s="23">
        <f t="shared" si="20"/>
        <v>0</v>
      </c>
      <c r="BQ11" s="89">
        <f t="shared" si="42"/>
        <v>0.10600000000000001</v>
      </c>
      <c r="BR11" s="23">
        <f>BR$5+SUM(BS$5:BS10)+SUM(R$5:R10)-SUM(S$5:S10)+SUM(BV$5:BV10)</f>
        <v>300000</v>
      </c>
      <c r="BS11" s="22">
        <f t="shared" si="49"/>
        <v>0</v>
      </c>
      <c r="BT11" s="22">
        <f t="shared" si="50"/>
        <v>0</v>
      </c>
      <c r="BU11" s="22">
        <f>IF(U11&lt;0,PMT(BQ11/12,Dane_kredytowe!F$13-SUM(AB$5:AB11)+1,BR11),0)</f>
        <v>0</v>
      </c>
      <c r="BV11" s="22">
        <f t="shared" si="43"/>
        <v>0</v>
      </c>
      <c r="BX11" s="23">
        <f>BX$5+SUM(BZ$5:BZ10)+SUM(R$5:R10)-SUM(S$5:S10)+SUM(CB$5,CB10)</f>
        <v>300000</v>
      </c>
      <c r="BY11" s="22">
        <f t="shared" si="21"/>
        <v>0</v>
      </c>
      <c r="BZ11" s="22">
        <f t="shared" si="22"/>
        <v>0</v>
      </c>
      <c r="CA11" s="22">
        <f t="shared" si="51"/>
        <v>0</v>
      </c>
      <c r="CB11" s="22">
        <f t="shared" si="52"/>
        <v>0</v>
      </c>
      <c r="CD11" s="22">
        <f>CD$5+SUM(CE$5:CE10)+SUM(R$5:R10)-SUM(S$5:S10)-SUM(CF$5:CF10)</f>
        <v>300000</v>
      </c>
      <c r="CE11" s="22">
        <f t="shared" si="44"/>
        <v>0</v>
      </c>
      <c r="CF11" s="22">
        <f t="shared" si="23"/>
        <v>0</v>
      </c>
      <c r="CG11" s="22">
        <f t="shared" si="45"/>
        <v>0</v>
      </c>
      <c r="CI11" s="89">
        <f t="shared" si="24"/>
        <v>0.96609999999999996</v>
      </c>
      <c r="CJ11" s="22">
        <f t="shared" si="25"/>
        <v>0</v>
      </c>
      <c r="CK11" s="15">
        <f t="shared" si="46"/>
        <v>0</v>
      </c>
      <c r="CM11" s="22">
        <f t="shared" si="47"/>
        <v>0</v>
      </c>
      <c r="CN11" s="15">
        <f t="shared" si="53"/>
        <v>0</v>
      </c>
    </row>
    <row r="12" spans="1:92">
      <c r="A12" s="25"/>
      <c r="B12" s="90">
        <v>37469</v>
      </c>
      <c r="C12" s="81">
        <f t="shared" si="0"/>
        <v>2.7926000000000002</v>
      </c>
      <c r="D12" s="82">
        <f t="shared" si="48"/>
        <v>2.8763780000000003</v>
      </c>
      <c r="E12" s="73">
        <f t="shared" si="26"/>
        <v>0</v>
      </c>
      <c r="F12" s="19">
        <f t="shared" si="27"/>
        <v>0</v>
      </c>
      <c r="G12" s="19">
        <f t="shared" si="28"/>
        <v>0</v>
      </c>
      <c r="H12" s="19">
        <f t="shared" si="29"/>
        <v>0</v>
      </c>
      <c r="I12" s="62"/>
      <c r="J12" s="15" t="str">
        <f t="shared" si="30"/>
        <v xml:space="preserve"> </v>
      </c>
      <c r="K12" s="15">
        <f>IF(B12&lt;=Dane_kredytowe!F$9,0,K11+1)</f>
        <v>0</v>
      </c>
      <c r="L12" s="83">
        <f t="shared" si="1"/>
        <v>7.9500000000000005E-3</v>
      </c>
      <c r="M12" s="84">
        <f>L12+Dane_kredytowe!F$12</f>
        <v>3.7949999999999998E-2</v>
      </c>
      <c r="N12" s="79">
        <f>MAX(Dane_kredytowe!F$17+SUM(AA$5:AA11)-SUM(X$5:X12)+SUM(W$5:W12),0)</f>
        <v>95134.46</v>
      </c>
      <c r="O12" s="85">
        <f>MAX(Dane_kredytowe!F$8+SUM(V$5:V11)-SUM(S$5:S12)+SUM(R$5:R11),0)</f>
        <v>300000</v>
      </c>
      <c r="P12" s="67">
        <f t="shared" si="31"/>
        <v>360</v>
      </c>
      <c r="Q12" s="127" t="str">
        <f>IF(AND(K12&gt;0,K12&lt;=Dane_kredytowe!F$16),"tak","nie")</f>
        <v>nie</v>
      </c>
      <c r="R12" s="69"/>
      <c r="S12" s="86">
        <f>IF(Dane_kredytowe!F$19=B12,O11+V11,_xlfn.XLOOKUP(B12,Dane_kredytowe!M$9:M$18,Dane_kredytowe!N$9:N$18,0))</f>
        <v>0</v>
      </c>
      <c r="T12" s="71">
        <f t="shared" si="2"/>
        <v>0</v>
      </c>
      <c r="U12" s="72">
        <f>IF(Q12="tak",T12,IF(P12-SUM(AB$5:AB12)+1&gt;0,IF(Dane_kredytowe!F$9&lt;B12,IF(SUM(AB$5:AB12)-Dane_kredytowe!F$16+1&gt;0,PMT(M12/12,P12+1-SUM(AB$5:AB12),O12),T12),0),0))</f>
        <v>0</v>
      </c>
      <c r="V12" s="72">
        <f t="shared" si="32"/>
        <v>0</v>
      </c>
      <c r="W12" s="19" t="str">
        <f t="shared" si="33"/>
        <v xml:space="preserve"> </v>
      </c>
      <c r="X12" s="19">
        <f t="shared" si="3"/>
        <v>0</v>
      </c>
      <c r="Y12" s="73">
        <f t="shared" si="4"/>
        <v>0</v>
      </c>
      <c r="Z12" s="19">
        <f>IF(P12-SUM(AB$5:AB12)+1&gt;0,IF(Dane_kredytowe!F$9&lt;B12,IF(SUM(AB$5:AB12)-Dane_kredytowe!F$16+1&gt;0,PMT(M12/12,P12+1-SUM(AB$5:AB12),N12),Y12),0),0)</f>
        <v>0</v>
      </c>
      <c r="AA12" s="19">
        <f t="shared" si="34"/>
        <v>0</v>
      </c>
      <c r="AB12" s="20" t="str">
        <f>IF(AND(Dane_kredytowe!F$9&lt;B12,SUM(AB$5:AB11)&lt;P11),1," ")</f>
        <v xml:space="preserve"> </v>
      </c>
      <c r="AD12" s="75">
        <f>IF(OR(B12&lt;Dane_kredytowe!F$15,Dane_kredytowe!F$15=""),-F12+S12,0)</f>
        <v>0</v>
      </c>
      <c r="AE12" s="75">
        <f t="shared" si="5"/>
        <v>0</v>
      </c>
      <c r="AG12" s="22">
        <f>Dane_kredytowe!F$17-SUM(AI$5:AI11)+SUM(W12:W$42)-SUM(X12:X$42)</f>
        <v>95134.46</v>
      </c>
      <c r="AH12" s="22">
        <f t="shared" si="6"/>
        <v>0</v>
      </c>
      <c r="AI12" s="22">
        <f t="shared" si="7"/>
        <v>0</v>
      </c>
      <c r="AJ12" s="22">
        <f t="shared" si="35"/>
        <v>0</v>
      </c>
      <c r="AK12" s="22">
        <f t="shared" si="8"/>
        <v>0</v>
      </c>
      <c r="AL12" s="22">
        <f>Dane_kredytowe!F$8-SUM(AN$5:AN11)+SUM(R11:R$42)-SUM(S12:S$42)</f>
        <v>300000</v>
      </c>
      <c r="AM12" s="22">
        <f t="shared" si="9"/>
        <v>0</v>
      </c>
      <c r="AN12" s="22">
        <f t="shared" si="10"/>
        <v>0</v>
      </c>
      <c r="AO12" s="22">
        <f t="shared" si="36"/>
        <v>0</v>
      </c>
      <c r="AP12" s="22">
        <f t="shared" si="37"/>
        <v>0</v>
      </c>
      <c r="AR12" s="87">
        <f t="shared" si="11"/>
        <v>37469</v>
      </c>
      <c r="AS12" s="23">
        <f>AS$5+SUM(AV$5:AV11)-SUM(X$5:X12)+SUM(W$5:W12)</f>
        <v>139056.27143784185</v>
      </c>
      <c r="AT12" s="22">
        <f t="shared" si="12"/>
        <v>0</v>
      </c>
      <c r="AU12" s="22">
        <f>IF(AB12=1,IF(Q12="tak",AT12,PMT(M12/12,P12+1-SUM(AB$5:AB12),AS12)),0)</f>
        <v>0</v>
      </c>
      <c r="AV12" s="22">
        <f t="shared" si="38"/>
        <v>0</v>
      </c>
      <c r="AW12" s="22">
        <f t="shared" si="13"/>
        <v>0</v>
      </c>
      <c r="AY12" s="23">
        <f>AY$5+SUM(BA$5:BA11)+SUM(W$5:W11)-SUM(X$5:X11)</f>
        <v>139056.27143784185</v>
      </c>
      <c r="AZ12" s="23">
        <f t="shared" si="14"/>
        <v>0</v>
      </c>
      <c r="BA12" s="23">
        <f t="shared" si="15"/>
        <v>0</v>
      </c>
      <c r="BB12" s="23">
        <f t="shared" si="39"/>
        <v>0</v>
      </c>
      <c r="BC12" s="23">
        <f t="shared" si="16"/>
        <v>0</v>
      </c>
      <c r="BE12" s="88">
        <f t="shared" si="17"/>
        <v>8.6499999999999994E-2</v>
      </c>
      <c r="BF12" s="89">
        <f>BE12+Dane_kredytowe!F$12</f>
        <v>0.11649999999999999</v>
      </c>
      <c r="BG12" s="23">
        <f>BG$5+SUM(BH$5:BH11)+SUM(R$5:R11)-SUM(S$5:S11)</f>
        <v>300000</v>
      </c>
      <c r="BH12" s="22">
        <f t="shared" si="40"/>
        <v>0</v>
      </c>
      <c r="BI12" s="22">
        <f t="shared" si="41"/>
        <v>0</v>
      </c>
      <c r="BJ12" s="22">
        <f>IF(U12&lt;0,PMT(BF12/12,Dane_kredytowe!F$13-SUM(AB$5:AB12)+1,BG12),0)</f>
        <v>0</v>
      </c>
      <c r="BL12" s="23">
        <f>BL$5+SUM(BN$5:BN11)+SUM(R$5:R11)-SUM(S$5:S11)</f>
        <v>300000</v>
      </c>
      <c r="BM12" s="23">
        <f t="shared" si="18"/>
        <v>0</v>
      </c>
      <c r="BN12" s="23">
        <f t="shared" si="19"/>
        <v>0</v>
      </c>
      <c r="BO12" s="23">
        <f t="shared" si="20"/>
        <v>0</v>
      </c>
      <c r="BQ12" s="89">
        <f t="shared" si="42"/>
        <v>0.10319999999999999</v>
      </c>
      <c r="BR12" s="23">
        <f>BR$5+SUM(BS$5:BS11)+SUM(R$5:R11)-SUM(S$5:S11)+SUM(BV$5:BV11)</f>
        <v>300000</v>
      </c>
      <c r="BS12" s="22">
        <f t="shared" si="49"/>
        <v>0</v>
      </c>
      <c r="BT12" s="22">
        <f t="shared" si="50"/>
        <v>0</v>
      </c>
      <c r="BU12" s="22">
        <f>IF(U12&lt;0,PMT(BQ12/12,Dane_kredytowe!F$13-SUM(AB$5:AB12)+1,BR12),0)</f>
        <v>0</v>
      </c>
      <c r="BV12" s="22">
        <f t="shared" si="43"/>
        <v>0</v>
      </c>
      <c r="BX12" s="23">
        <f>BX$5+SUM(BZ$5:BZ11)+SUM(R$5:R11)-SUM(S$5:S11)+SUM(CB$5,CB11)</f>
        <v>300000</v>
      </c>
      <c r="BY12" s="22">
        <f t="shared" si="21"/>
        <v>0</v>
      </c>
      <c r="BZ12" s="22">
        <f t="shared" si="22"/>
        <v>0</v>
      </c>
      <c r="CA12" s="22">
        <f t="shared" si="51"/>
        <v>0</v>
      </c>
      <c r="CB12" s="22">
        <f t="shared" si="52"/>
        <v>0</v>
      </c>
      <c r="CD12" s="22">
        <f>CD$5+SUM(CE$5:CE11)+SUM(R$5:R11)-SUM(S$5:S11)-SUM(CF$5:CF11)</f>
        <v>300000</v>
      </c>
      <c r="CE12" s="22">
        <f t="shared" si="44"/>
        <v>0</v>
      </c>
      <c r="CF12" s="22">
        <f t="shared" si="23"/>
        <v>0</v>
      </c>
      <c r="CG12" s="22">
        <f t="shared" si="45"/>
        <v>0</v>
      </c>
      <c r="CI12" s="89">
        <f t="shared" si="24"/>
        <v>0.97399999999999998</v>
      </c>
      <c r="CJ12" s="22">
        <f t="shared" si="25"/>
        <v>0</v>
      </c>
      <c r="CK12" s="15">
        <f t="shared" si="46"/>
        <v>0</v>
      </c>
      <c r="CM12" s="22">
        <f t="shared" si="47"/>
        <v>0</v>
      </c>
      <c r="CN12" s="15">
        <f t="shared" si="53"/>
        <v>0</v>
      </c>
    </row>
    <row r="13" spans="1:92">
      <c r="A13" s="25"/>
      <c r="B13" s="90">
        <v>37500</v>
      </c>
      <c r="C13" s="81">
        <f t="shared" si="0"/>
        <v>2.7803</v>
      </c>
      <c r="D13" s="82">
        <f t="shared" si="48"/>
        <v>2.8637090000000001</v>
      </c>
      <c r="E13" s="73">
        <f t="shared" si="26"/>
        <v>0</v>
      </c>
      <c r="F13" s="19">
        <f t="shared" si="27"/>
        <v>0</v>
      </c>
      <c r="G13" s="19">
        <f t="shared" si="28"/>
        <v>0</v>
      </c>
      <c r="H13" s="19">
        <f t="shared" si="29"/>
        <v>0</v>
      </c>
      <c r="I13" s="62"/>
      <c r="J13" s="15" t="str">
        <f t="shared" si="30"/>
        <v xml:space="preserve"> </v>
      </c>
      <c r="K13" s="15">
        <f>IF(B13&lt;=Dane_kredytowe!F$9,0,K12+1)</f>
        <v>0</v>
      </c>
      <c r="L13" s="83">
        <f t="shared" si="1"/>
        <v>7.4669999999999997E-3</v>
      </c>
      <c r="M13" s="84">
        <f>L13+Dane_kredytowe!F$12</f>
        <v>3.7467E-2</v>
      </c>
      <c r="N13" s="79">
        <f>MAX(Dane_kredytowe!F$17+SUM(AA$5:AA12)-SUM(X$5:X13)+SUM(W$5:W13),0)</f>
        <v>95134.46</v>
      </c>
      <c r="O13" s="85">
        <f>MAX(Dane_kredytowe!F$8+SUM(V$5:V12)-SUM(S$5:S13)+SUM(R$5:R12),0)</f>
        <v>300000</v>
      </c>
      <c r="P13" s="67">
        <f t="shared" si="31"/>
        <v>360</v>
      </c>
      <c r="Q13" s="127" t="str">
        <f>IF(AND(K13&gt;0,K13&lt;=Dane_kredytowe!F$16),"tak","nie")</f>
        <v>nie</v>
      </c>
      <c r="R13" s="69"/>
      <c r="S13" s="86">
        <f>IF(Dane_kredytowe!F$19=B13,O12+V12,_xlfn.XLOOKUP(B13,Dane_kredytowe!M$9:M$18,Dane_kredytowe!N$9:N$18,0))</f>
        <v>0</v>
      </c>
      <c r="T13" s="71">
        <f t="shared" si="2"/>
        <v>0</v>
      </c>
      <c r="U13" s="72">
        <f>IF(Q13="tak",T13,IF(P13-SUM(AB$5:AB13)+1&gt;0,IF(Dane_kredytowe!F$9&lt;B13,IF(SUM(AB$5:AB13)-Dane_kredytowe!F$16+1&gt;0,PMT(M13/12,P13+1-SUM(AB$5:AB13),O13),T13),0),0))</f>
        <v>0</v>
      </c>
      <c r="V13" s="72">
        <f t="shared" si="32"/>
        <v>0</v>
      </c>
      <c r="W13" s="19" t="str">
        <f t="shared" si="33"/>
        <v xml:space="preserve"> </v>
      </c>
      <c r="X13" s="19">
        <f t="shared" si="3"/>
        <v>0</v>
      </c>
      <c r="Y13" s="73">
        <f t="shared" si="4"/>
        <v>0</v>
      </c>
      <c r="Z13" s="19">
        <f>IF(P13-SUM(AB$5:AB13)+1&gt;0,IF(Dane_kredytowe!F$9&lt;B13,IF(SUM(AB$5:AB13)-Dane_kredytowe!F$16+1&gt;0,PMT(M13/12,P13+1-SUM(AB$5:AB13),N13),Y13),0),0)</f>
        <v>0</v>
      </c>
      <c r="AA13" s="19">
        <f t="shared" si="34"/>
        <v>0</v>
      </c>
      <c r="AB13" s="20" t="str">
        <f>IF(AND(Dane_kredytowe!F$9&lt;B13,SUM(AB$5:AB12)&lt;P12),1," ")</f>
        <v xml:space="preserve"> </v>
      </c>
      <c r="AD13" s="75">
        <f>IF(OR(B13&lt;Dane_kredytowe!F$15,Dane_kredytowe!F$15=""),-F13+S13,0)</f>
        <v>0</v>
      </c>
      <c r="AE13" s="75">
        <f t="shared" si="5"/>
        <v>0</v>
      </c>
      <c r="AG13" s="22">
        <f>Dane_kredytowe!F$17-SUM(AI$5:AI12)+SUM(W13:W$42)-SUM(X13:X$42)</f>
        <v>95134.46</v>
      </c>
      <c r="AH13" s="22">
        <f t="shared" si="6"/>
        <v>0</v>
      </c>
      <c r="AI13" s="22">
        <f t="shared" si="7"/>
        <v>0</v>
      </c>
      <c r="AJ13" s="22">
        <f t="shared" si="35"/>
        <v>0</v>
      </c>
      <c r="AK13" s="22">
        <f t="shared" si="8"/>
        <v>0</v>
      </c>
      <c r="AL13" s="22">
        <f>Dane_kredytowe!F$8-SUM(AN$5:AN12)+SUM(R12:R$42)-SUM(S13:S$42)</f>
        <v>300000</v>
      </c>
      <c r="AM13" s="22">
        <f t="shared" si="9"/>
        <v>0</v>
      </c>
      <c r="AN13" s="22">
        <f t="shared" si="10"/>
        <v>0</v>
      </c>
      <c r="AO13" s="22">
        <f t="shared" si="36"/>
        <v>0</v>
      </c>
      <c r="AP13" s="22">
        <f t="shared" si="37"/>
        <v>0</v>
      </c>
      <c r="AR13" s="87">
        <f t="shared" si="11"/>
        <v>37500</v>
      </c>
      <c r="AS13" s="23">
        <f>AS$5+SUM(AV$5:AV12)-SUM(X$5:X13)+SUM(W$5:W13)</f>
        <v>139056.27143784185</v>
      </c>
      <c r="AT13" s="22">
        <f t="shared" si="12"/>
        <v>0</v>
      </c>
      <c r="AU13" s="22">
        <f>IF(AB13=1,IF(Q13="tak",AT13,PMT(M13/12,P13+1-SUM(AB$5:AB13),AS13)),0)</f>
        <v>0</v>
      </c>
      <c r="AV13" s="22">
        <f t="shared" si="38"/>
        <v>0</v>
      </c>
      <c r="AW13" s="22">
        <f t="shared" si="13"/>
        <v>0</v>
      </c>
      <c r="AY13" s="23">
        <f>AY$5+SUM(BA$5:BA12)+SUM(W$5:W12)-SUM(X$5:X12)</f>
        <v>139056.27143784185</v>
      </c>
      <c r="AZ13" s="23">
        <f t="shared" si="14"/>
        <v>0</v>
      </c>
      <c r="BA13" s="23">
        <f t="shared" si="15"/>
        <v>0</v>
      </c>
      <c r="BB13" s="23">
        <f t="shared" si="39"/>
        <v>0</v>
      </c>
      <c r="BC13" s="23">
        <f t="shared" si="16"/>
        <v>0</v>
      </c>
      <c r="BE13" s="88">
        <f t="shared" si="17"/>
        <v>8.3299999999999999E-2</v>
      </c>
      <c r="BF13" s="89">
        <f>BE13+Dane_kredytowe!F$12</f>
        <v>0.1133</v>
      </c>
      <c r="BG13" s="23">
        <f>BG$5+SUM(BH$5:BH12)+SUM(R$5:R12)-SUM(S$5:S12)</f>
        <v>300000</v>
      </c>
      <c r="BH13" s="22">
        <f t="shared" si="40"/>
        <v>0</v>
      </c>
      <c r="BI13" s="22">
        <f t="shared" si="41"/>
        <v>0</v>
      </c>
      <c r="BJ13" s="22">
        <f>IF(U13&lt;0,PMT(BF13/12,Dane_kredytowe!F$13-SUM(AB$5:AB13)+1,BG13),0)</f>
        <v>0</v>
      </c>
      <c r="BL13" s="23">
        <f>BL$5+SUM(BN$5:BN12)+SUM(R$5:R12)-SUM(S$5:S12)</f>
        <v>300000</v>
      </c>
      <c r="BM13" s="23">
        <f t="shared" si="18"/>
        <v>0</v>
      </c>
      <c r="BN13" s="23">
        <f t="shared" si="19"/>
        <v>0</v>
      </c>
      <c r="BO13" s="23">
        <f t="shared" si="20"/>
        <v>0</v>
      </c>
      <c r="BQ13" s="89">
        <f t="shared" si="42"/>
        <v>0.1</v>
      </c>
      <c r="BR13" s="23">
        <f>BR$5+SUM(BS$5:BS12)+SUM(R$5:R12)-SUM(S$5:S12)+SUM(BV$5:BV12)</f>
        <v>300000</v>
      </c>
      <c r="BS13" s="22">
        <f t="shared" si="49"/>
        <v>0</v>
      </c>
      <c r="BT13" s="22">
        <f t="shared" si="50"/>
        <v>0</v>
      </c>
      <c r="BU13" s="22">
        <f>IF(U13&lt;0,PMT(BQ13/12,Dane_kredytowe!F$13-SUM(AB$5:AB13)+1,BR13),0)</f>
        <v>0</v>
      </c>
      <c r="BV13" s="22">
        <f t="shared" si="43"/>
        <v>0</v>
      </c>
      <c r="BX13" s="23">
        <f>BX$5+SUM(BZ$5:BZ12)+SUM(R$5:R12)-SUM(S$5:S12)+SUM(CB$5,CB12)</f>
        <v>300000</v>
      </c>
      <c r="BY13" s="22">
        <f t="shared" si="21"/>
        <v>0</v>
      </c>
      <c r="BZ13" s="22">
        <f t="shared" si="22"/>
        <v>0</v>
      </c>
      <c r="CA13" s="22">
        <f t="shared" si="51"/>
        <v>0</v>
      </c>
      <c r="CB13" s="22">
        <f t="shared" si="52"/>
        <v>0</v>
      </c>
      <c r="CD13" s="22">
        <f>CD$5+SUM(CE$5:CE12)+SUM(R$5:R12)-SUM(S$5:S12)-SUM(CF$5:CF12)</f>
        <v>300000</v>
      </c>
      <c r="CE13" s="22">
        <f t="shared" si="44"/>
        <v>0</v>
      </c>
      <c r="CF13" s="22">
        <f t="shared" si="23"/>
        <v>0</v>
      </c>
      <c r="CG13" s="22">
        <f t="shared" si="45"/>
        <v>0</v>
      </c>
      <c r="CI13" s="89">
        <f t="shared" si="24"/>
        <v>0.96809999999999996</v>
      </c>
      <c r="CJ13" s="22">
        <f t="shared" si="25"/>
        <v>0</v>
      </c>
      <c r="CK13" s="15">
        <f t="shared" si="46"/>
        <v>0</v>
      </c>
      <c r="CM13" s="22">
        <f t="shared" si="47"/>
        <v>0</v>
      </c>
      <c r="CN13" s="15">
        <f t="shared" si="53"/>
        <v>0</v>
      </c>
    </row>
    <row r="14" spans="1:92">
      <c r="A14" s="25"/>
      <c r="B14" s="90">
        <v>37530</v>
      </c>
      <c r="C14" s="81">
        <f t="shared" si="0"/>
        <v>2.7612999999999999</v>
      </c>
      <c r="D14" s="82">
        <f t="shared" si="48"/>
        <v>2.8441389999999998</v>
      </c>
      <c r="E14" s="73">
        <f t="shared" si="26"/>
        <v>0</v>
      </c>
      <c r="F14" s="19">
        <f t="shared" si="27"/>
        <v>0</v>
      </c>
      <c r="G14" s="19">
        <f t="shared" si="28"/>
        <v>0</v>
      </c>
      <c r="H14" s="19">
        <f t="shared" si="29"/>
        <v>0</v>
      </c>
      <c r="I14" s="62"/>
      <c r="J14" s="15" t="str">
        <f t="shared" si="30"/>
        <v xml:space="preserve"> </v>
      </c>
      <c r="K14" s="15">
        <f>IF(B14&lt;=Dane_kredytowe!F$9,0,K13+1)</f>
        <v>0</v>
      </c>
      <c r="L14" s="83">
        <f t="shared" si="1"/>
        <v>7.3330000000000001E-3</v>
      </c>
      <c r="M14" s="84">
        <f>L14+Dane_kredytowe!F$12</f>
        <v>3.7332999999999998E-2</v>
      </c>
      <c r="N14" s="79">
        <f>MAX(Dane_kredytowe!F$17+SUM(AA$5:AA13)-SUM(X$5:X14)+SUM(W$5:W14),0)</f>
        <v>95134.46</v>
      </c>
      <c r="O14" s="85">
        <f>MAX(Dane_kredytowe!F$8+SUM(V$5:V13)-SUM(S$5:S14)+SUM(R$5:R13),0)</f>
        <v>300000</v>
      </c>
      <c r="P14" s="67">
        <f t="shared" si="31"/>
        <v>360</v>
      </c>
      <c r="Q14" s="127" t="str">
        <f>IF(AND(K14&gt;0,K14&lt;=Dane_kredytowe!F$16),"tak","nie")</f>
        <v>nie</v>
      </c>
      <c r="R14" s="69"/>
      <c r="S14" s="86">
        <f>IF(Dane_kredytowe!F$19=B14,O13+V13,_xlfn.XLOOKUP(B14,Dane_kredytowe!M$9:M$18,Dane_kredytowe!N$9:N$18,0))</f>
        <v>0</v>
      </c>
      <c r="T14" s="71">
        <f t="shared" si="2"/>
        <v>0</v>
      </c>
      <c r="U14" s="72">
        <f>IF(Q14="tak",T14,IF(P14-SUM(AB$5:AB14)+1&gt;0,IF(Dane_kredytowe!F$9&lt;B14,IF(SUM(AB$5:AB14)-Dane_kredytowe!F$16+1&gt;0,PMT(M14/12,P14+1-SUM(AB$5:AB14),O14),T14),0),0))</f>
        <v>0</v>
      </c>
      <c r="V14" s="72">
        <f t="shared" si="32"/>
        <v>0</v>
      </c>
      <c r="W14" s="19" t="str">
        <f t="shared" si="33"/>
        <v xml:space="preserve"> </v>
      </c>
      <c r="X14" s="19">
        <f t="shared" si="3"/>
        <v>0</v>
      </c>
      <c r="Y14" s="73">
        <f t="shared" si="4"/>
        <v>0</v>
      </c>
      <c r="Z14" s="19">
        <f>IF(P14-SUM(AB$5:AB14)+1&gt;0,IF(Dane_kredytowe!F$9&lt;B14,IF(SUM(AB$5:AB14)-Dane_kredytowe!F$16+1&gt;0,PMT(M14/12,P14+1-SUM(AB$5:AB14),N14),Y14),0),0)</f>
        <v>0</v>
      </c>
      <c r="AA14" s="19">
        <f t="shared" si="34"/>
        <v>0</v>
      </c>
      <c r="AB14" s="20" t="str">
        <f>IF(AND(Dane_kredytowe!F$9&lt;B14,SUM(AB$5:AB13)&lt;P13),1," ")</f>
        <v xml:space="preserve"> </v>
      </c>
      <c r="AD14" s="75">
        <f>IF(OR(B14&lt;Dane_kredytowe!F$15,Dane_kredytowe!F$15=""),-F14+S14,0)</f>
        <v>0</v>
      </c>
      <c r="AE14" s="75">
        <f t="shared" si="5"/>
        <v>0</v>
      </c>
      <c r="AG14" s="22">
        <f>Dane_kredytowe!F$17-SUM(AI$5:AI13)+SUM(W14:W$42)-SUM(X14:X$42)</f>
        <v>95134.46</v>
      </c>
      <c r="AH14" s="22">
        <f t="shared" si="6"/>
        <v>0</v>
      </c>
      <c r="AI14" s="22">
        <f t="shared" si="7"/>
        <v>0</v>
      </c>
      <c r="AJ14" s="22">
        <f t="shared" si="35"/>
        <v>0</v>
      </c>
      <c r="AK14" s="22">
        <f t="shared" si="8"/>
        <v>0</v>
      </c>
      <c r="AL14" s="22">
        <f>Dane_kredytowe!F$8-SUM(AN$5:AN13)+SUM(R13:R$42)-SUM(S14:S$42)</f>
        <v>300000</v>
      </c>
      <c r="AM14" s="22">
        <f t="shared" si="9"/>
        <v>0</v>
      </c>
      <c r="AN14" s="22">
        <f t="shared" si="10"/>
        <v>0</v>
      </c>
      <c r="AO14" s="22">
        <f t="shared" si="36"/>
        <v>0</v>
      </c>
      <c r="AP14" s="22">
        <f t="shared" si="37"/>
        <v>0</v>
      </c>
      <c r="AR14" s="87">
        <f t="shared" si="11"/>
        <v>37530</v>
      </c>
      <c r="AS14" s="23">
        <f>AS$5+SUM(AV$5:AV13)-SUM(X$5:X14)+SUM(W$5:W14)</f>
        <v>139056.27143784185</v>
      </c>
      <c r="AT14" s="22">
        <f t="shared" si="12"/>
        <v>0</v>
      </c>
      <c r="AU14" s="22">
        <f>IF(AB14=1,IF(Q14="tak",AT14,PMT(M14/12,P14+1-SUM(AB$5:AB14),AS14)),0)</f>
        <v>0</v>
      </c>
      <c r="AV14" s="22">
        <f t="shared" si="38"/>
        <v>0</v>
      </c>
      <c r="AW14" s="22">
        <f t="shared" si="13"/>
        <v>0</v>
      </c>
      <c r="AY14" s="23">
        <f>AY$5+SUM(BA$5:BA13)+SUM(W$5:W13)-SUM(X$5:X13)</f>
        <v>139056.27143784185</v>
      </c>
      <c r="AZ14" s="23">
        <f t="shared" si="14"/>
        <v>0</v>
      </c>
      <c r="BA14" s="23">
        <f t="shared" si="15"/>
        <v>0</v>
      </c>
      <c r="BB14" s="23">
        <f t="shared" si="39"/>
        <v>0</v>
      </c>
      <c r="BC14" s="23">
        <f t="shared" si="16"/>
        <v>0</v>
      </c>
      <c r="BE14" s="88">
        <f t="shared" si="17"/>
        <v>7.6799999999999993E-2</v>
      </c>
      <c r="BF14" s="89">
        <f>BE14+Dane_kredytowe!F$12</f>
        <v>0.10679999999999999</v>
      </c>
      <c r="BG14" s="23">
        <f>BG$5+SUM(BH$5:BH13)+SUM(R$5:R13)-SUM(S$5:S13)</f>
        <v>300000</v>
      </c>
      <c r="BH14" s="22">
        <f t="shared" si="40"/>
        <v>0</v>
      </c>
      <c r="BI14" s="22">
        <f t="shared" si="41"/>
        <v>0</v>
      </c>
      <c r="BJ14" s="22">
        <f>IF(U14&lt;0,PMT(BF14/12,Dane_kredytowe!F$13-SUM(AB$5:AB14)+1,BG14),0)</f>
        <v>0</v>
      </c>
      <c r="BL14" s="23">
        <f>BL$5+SUM(BN$5:BN13)+SUM(R$5:R13)-SUM(S$5:S13)</f>
        <v>300000</v>
      </c>
      <c r="BM14" s="23">
        <f t="shared" si="18"/>
        <v>0</v>
      </c>
      <c r="BN14" s="23">
        <f t="shared" si="19"/>
        <v>0</v>
      </c>
      <c r="BO14" s="23">
        <f t="shared" si="20"/>
        <v>0</v>
      </c>
      <c r="BQ14" s="89">
        <f t="shared" si="42"/>
        <v>9.35E-2</v>
      </c>
      <c r="BR14" s="23">
        <f>BR$5+SUM(BS$5:BS13)+SUM(R$5:R13)-SUM(S$5:S13)+SUM(BV$5:BV13)</f>
        <v>300000</v>
      </c>
      <c r="BS14" s="22">
        <f t="shared" si="49"/>
        <v>0</v>
      </c>
      <c r="BT14" s="22">
        <f t="shared" si="50"/>
        <v>0</v>
      </c>
      <c r="BU14" s="22">
        <f>IF(U14&lt;0,PMT(BQ14/12,Dane_kredytowe!F$13-SUM(AB$5:AB14)+1,BR14),0)</f>
        <v>0</v>
      </c>
      <c r="BV14" s="22">
        <f t="shared" si="43"/>
        <v>0</v>
      </c>
      <c r="BX14" s="23">
        <f>BX$5+SUM(BZ$5:BZ13)+SUM(R$5:R13)-SUM(S$5:S13)+SUM(CB$5,CB13)</f>
        <v>300000</v>
      </c>
      <c r="BY14" s="22">
        <f t="shared" si="21"/>
        <v>0</v>
      </c>
      <c r="BZ14" s="22">
        <f t="shared" si="22"/>
        <v>0</v>
      </c>
      <c r="CA14" s="22">
        <f t="shared" si="51"/>
        <v>0</v>
      </c>
      <c r="CB14" s="22">
        <f t="shared" si="52"/>
        <v>0</v>
      </c>
      <c r="CD14" s="22">
        <f>CD$5+SUM(CE$5:CE13)+SUM(R$5:R13)-SUM(S$5:S13)-SUM(CF$5:CF13)</f>
        <v>300000</v>
      </c>
      <c r="CE14" s="22">
        <f t="shared" si="44"/>
        <v>0</v>
      </c>
      <c r="CF14" s="22">
        <f t="shared" si="23"/>
        <v>0</v>
      </c>
      <c r="CG14" s="22">
        <f t="shared" si="45"/>
        <v>0</v>
      </c>
      <c r="CI14" s="89">
        <f t="shared" si="24"/>
        <v>0.96220000000000006</v>
      </c>
      <c r="CJ14" s="22">
        <f t="shared" si="25"/>
        <v>0</v>
      </c>
      <c r="CK14" s="15">
        <f t="shared" si="46"/>
        <v>0</v>
      </c>
      <c r="CM14" s="22">
        <f t="shared" si="47"/>
        <v>0</v>
      </c>
      <c r="CN14" s="15">
        <f t="shared" si="53"/>
        <v>0</v>
      </c>
    </row>
    <row r="15" spans="1:92">
      <c r="A15" s="25"/>
      <c r="B15" s="90">
        <v>37561</v>
      </c>
      <c r="C15" s="81">
        <f t="shared" si="0"/>
        <v>2.6983000000000001</v>
      </c>
      <c r="D15" s="82">
        <f t="shared" si="48"/>
        <v>2.7792490000000001</v>
      </c>
      <c r="E15" s="73">
        <f t="shared" si="26"/>
        <v>0</v>
      </c>
      <c r="F15" s="19">
        <f t="shared" si="27"/>
        <v>0</v>
      </c>
      <c r="G15" s="19">
        <f t="shared" si="28"/>
        <v>0</v>
      </c>
      <c r="H15" s="19">
        <f t="shared" si="29"/>
        <v>0</v>
      </c>
      <c r="I15" s="62"/>
      <c r="J15" s="15" t="str">
        <f t="shared" si="30"/>
        <v xml:space="preserve"> </v>
      </c>
      <c r="K15" s="15">
        <f>IF(B15&lt;=Dane_kredytowe!F$9,0,K14+1)</f>
        <v>0</v>
      </c>
      <c r="L15" s="83">
        <f t="shared" si="1"/>
        <v>7.3670000000000003E-3</v>
      </c>
      <c r="M15" s="84">
        <f>L15+Dane_kredytowe!F$12</f>
        <v>3.7366999999999997E-2</v>
      </c>
      <c r="N15" s="79">
        <f>MAX(Dane_kredytowe!F$17+SUM(AA$5:AA14)-SUM(X$5:X15)+SUM(W$5:W15),0)</f>
        <v>95134.46</v>
      </c>
      <c r="O15" s="85">
        <f>MAX(Dane_kredytowe!F$8+SUM(V$5:V14)-SUM(S$5:S15)+SUM(R$5:R14),0)</f>
        <v>300000</v>
      </c>
      <c r="P15" s="67">
        <f t="shared" si="31"/>
        <v>360</v>
      </c>
      <c r="Q15" s="127" t="str">
        <f>IF(AND(K15&gt;0,K15&lt;=Dane_kredytowe!F$16),"tak","nie")</f>
        <v>nie</v>
      </c>
      <c r="R15" s="69"/>
      <c r="S15" s="86">
        <f>IF(Dane_kredytowe!F$19=B15,O14+V14,_xlfn.XLOOKUP(B15,Dane_kredytowe!M$9:M$18,Dane_kredytowe!N$9:N$18,0))</f>
        <v>0</v>
      </c>
      <c r="T15" s="71">
        <f t="shared" si="2"/>
        <v>0</v>
      </c>
      <c r="U15" s="72">
        <f>IF(Q15="tak",T15,IF(P15-SUM(AB$5:AB15)+1&gt;0,IF(Dane_kredytowe!F$9&lt;B15,IF(SUM(AB$5:AB15)-Dane_kredytowe!F$16+1&gt;0,PMT(M15/12,P15+1-SUM(AB$5:AB15),O15),T15),0),0))</f>
        <v>0</v>
      </c>
      <c r="V15" s="72">
        <f t="shared" si="32"/>
        <v>0</v>
      </c>
      <c r="W15" s="19" t="str">
        <f t="shared" si="33"/>
        <v xml:space="preserve"> </v>
      </c>
      <c r="X15" s="19">
        <f t="shared" si="3"/>
        <v>0</v>
      </c>
      <c r="Y15" s="73">
        <f t="shared" si="4"/>
        <v>0</v>
      </c>
      <c r="Z15" s="19">
        <f>IF(P15-SUM(AB$5:AB15)+1&gt;0,IF(Dane_kredytowe!F$9&lt;B15,IF(SUM(AB$5:AB15)-Dane_kredytowe!F$16+1&gt;0,PMT(M15/12,P15+1-SUM(AB$5:AB15),N15),Y15),0),0)</f>
        <v>0</v>
      </c>
      <c r="AA15" s="19">
        <f t="shared" si="34"/>
        <v>0</v>
      </c>
      <c r="AB15" s="20" t="str">
        <f>IF(AND(Dane_kredytowe!F$9&lt;B15,SUM(AB$5:AB14)&lt;P14),1," ")</f>
        <v xml:space="preserve"> </v>
      </c>
      <c r="AD15" s="75">
        <f>IF(OR(B15&lt;Dane_kredytowe!F$15,Dane_kredytowe!F$15=""),-F15+S15,0)</f>
        <v>0</v>
      </c>
      <c r="AE15" s="75">
        <f t="shared" si="5"/>
        <v>0</v>
      </c>
      <c r="AG15" s="22">
        <f>Dane_kredytowe!F$17-SUM(AI$5:AI14)+SUM(W15:W$42)-SUM(X15:X$42)</f>
        <v>95134.46</v>
      </c>
      <c r="AH15" s="22">
        <f t="shared" si="6"/>
        <v>0</v>
      </c>
      <c r="AI15" s="22">
        <f t="shared" si="7"/>
        <v>0</v>
      </c>
      <c r="AJ15" s="22">
        <f t="shared" si="35"/>
        <v>0</v>
      </c>
      <c r="AK15" s="22">
        <f t="shared" si="8"/>
        <v>0</v>
      </c>
      <c r="AL15" s="22">
        <f>Dane_kredytowe!F$8-SUM(AN$5:AN14)+SUM(R14:R$42)-SUM(S15:S$42)</f>
        <v>300000</v>
      </c>
      <c r="AM15" s="22">
        <f t="shared" si="9"/>
        <v>0</v>
      </c>
      <c r="AN15" s="22">
        <f t="shared" si="10"/>
        <v>0</v>
      </c>
      <c r="AO15" s="22">
        <f t="shared" si="36"/>
        <v>0</v>
      </c>
      <c r="AP15" s="22">
        <f t="shared" si="37"/>
        <v>0</v>
      </c>
      <c r="AR15" s="87">
        <f t="shared" si="11"/>
        <v>37561</v>
      </c>
      <c r="AS15" s="23">
        <f>AS$5+SUM(AV$5:AV14)-SUM(X$5:X15)+SUM(W$5:W15)</f>
        <v>139056.27143784185</v>
      </c>
      <c r="AT15" s="22">
        <f t="shared" si="12"/>
        <v>0</v>
      </c>
      <c r="AU15" s="22">
        <f>IF(AB15=1,IF(Q15="tak",AT15,PMT(M15/12,P15+1-SUM(AB$5:AB15),AS15)),0)</f>
        <v>0</v>
      </c>
      <c r="AV15" s="22">
        <f t="shared" si="38"/>
        <v>0</v>
      </c>
      <c r="AW15" s="22">
        <f t="shared" si="13"/>
        <v>0</v>
      </c>
      <c r="AY15" s="23">
        <f>AY$5+SUM(BA$5:BA14)+SUM(W$5:W14)-SUM(X$5:X14)</f>
        <v>139056.27143784185</v>
      </c>
      <c r="AZ15" s="23">
        <f t="shared" si="14"/>
        <v>0</v>
      </c>
      <c r="BA15" s="23">
        <f t="shared" si="15"/>
        <v>0</v>
      </c>
      <c r="BB15" s="23">
        <f t="shared" si="39"/>
        <v>0</v>
      </c>
      <c r="BC15" s="23">
        <f t="shared" si="16"/>
        <v>0</v>
      </c>
      <c r="BE15" s="88">
        <f t="shared" si="17"/>
        <v>7.0300000000000001E-2</v>
      </c>
      <c r="BF15" s="89">
        <f>BE15+Dane_kredytowe!F$12</f>
        <v>0.1003</v>
      </c>
      <c r="BG15" s="23">
        <f>BG$5+SUM(BH$5:BH14)+SUM(R$5:R14)-SUM(S$5:S14)</f>
        <v>300000</v>
      </c>
      <c r="BH15" s="22">
        <f t="shared" si="40"/>
        <v>0</v>
      </c>
      <c r="BI15" s="22">
        <f t="shared" si="41"/>
        <v>0</v>
      </c>
      <c r="BJ15" s="22">
        <f>IF(U15&lt;0,PMT(BF15/12,Dane_kredytowe!F$13-SUM(AB$5:AB15)+1,BG15),0)</f>
        <v>0</v>
      </c>
      <c r="BL15" s="23">
        <f>BL$5+SUM(BN$5:BN14)+SUM(R$5:R14)-SUM(S$5:S14)</f>
        <v>300000</v>
      </c>
      <c r="BM15" s="23">
        <f t="shared" si="18"/>
        <v>0</v>
      </c>
      <c r="BN15" s="23">
        <f t="shared" si="19"/>
        <v>0</v>
      </c>
      <c r="BO15" s="23">
        <f t="shared" si="20"/>
        <v>0</v>
      </c>
      <c r="BQ15" s="89">
        <f t="shared" si="42"/>
        <v>8.6999999999999994E-2</v>
      </c>
      <c r="BR15" s="23">
        <f>BR$5+SUM(BS$5:BS14)+SUM(R$5:R14)-SUM(S$5:S14)+SUM(BV$5:BV14)</f>
        <v>300000</v>
      </c>
      <c r="BS15" s="22">
        <f t="shared" si="49"/>
        <v>0</v>
      </c>
      <c r="BT15" s="22">
        <f t="shared" si="50"/>
        <v>0</v>
      </c>
      <c r="BU15" s="22">
        <f>IF(U15&lt;0,PMT(BQ15/12,Dane_kredytowe!F$13-SUM(AB$5:AB15)+1,BR15),0)</f>
        <v>0</v>
      </c>
      <c r="BV15" s="22">
        <f t="shared" si="43"/>
        <v>0</v>
      </c>
      <c r="BX15" s="23">
        <f>BX$5+SUM(BZ$5:BZ14)+SUM(R$5:R14)-SUM(S$5:S14)+SUM(CB$5,CB14)</f>
        <v>300000</v>
      </c>
      <c r="BY15" s="22">
        <f t="shared" si="21"/>
        <v>0</v>
      </c>
      <c r="BZ15" s="22">
        <f t="shared" si="22"/>
        <v>0</v>
      </c>
      <c r="CA15" s="22">
        <f t="shared" si="51"/>
        <v>0</v>
      </c>
      <c r="CB15" s="22">
        <f t="shared" si="52"/>
        <v>0</v>
      </c>
      <c r="CD15" s="22">
        <f>CD$5+SUM(CE$5:CE14)+SUM(R$5:R14)-SUM(S$5:S14)-SUM(CF$5:CF14)</f>
        <v>300000</v>
      </c>
      <c r="CE15" s="22">
        <f t="shared" si="44"/>
        <v>0</v>
      </c>
      <c r="CF15" s="22">
        <f t="shared" si="23"/>
        <v>0</v>
      </c>
      <c r="CG15" s="22">
        <f t="shared" si="45"/>
        <v>0</v>
      </c>
      <c r="CI15" s="89">
        <f t="shared" si="24"/>
        <v>0.96419999999999995</v>
      </c>
      <c r="CJ15" s="22">
        <f t="shared" si="25"/>
        <v>0</v>
      </c>
      <c r="CK15" s="15">
        <f t="shared" si="46"/>
        <v>0</v>
      </c>
      <c r="CM15" s="22">
        <f t="shared" si="47"/>
        <v>0</v>
      </c>
      <c r="CN15" s="15">
        <f t="shared" si="53"/>
        <v>0</v>
      </c>
    </row>
    <row r="16" spans="1:92">
      <c r="A16" s="25"/>
      <c r="B16" s="90">
        <v>37591</v>
      </c>
      <c r="C16" s="81">
        <f t="shared" si="0"/>
        <v>2.7181999999999999</v>
      </c>
      <c r="D16" s="82">
        <f t="shared" si="48"/>
        <v>2.7997459999999998</v>
      </c>
      <c r="E16" s="73">
        <f t="shared" si="26"/>
        <v>0</v>
      </c>
      <c r="F16" s="19">
        <f t="shared" si="27"/>
        <v>0</v>
      </c>
      <c r="G16" s="19">
        <f t="shared" si="28"/>
        <v>0</v>
      </c>
      <c r="H16" s="19">
        <f t="shared" si="29"/>
        <v>0</v>
      </c>
      <c r="I16" s="62"/>
      <c r="J16" s="15" t="str">
        <f t="shared" si="30"/>
        <v xml:space="preserve"> </v>
      </c>
      <c r="K16" s="15">
        <f>IF(B16&lt;=Dane_kredytowe!F$9,0,K15+1)</f>
        <v>0</v>
      </c>
      <c r="L16" s="83">
        <f t="shared" si="1"/>
        <v>7.4330000000000004E-3</v>
      </c>
      <c r="M16" s="84">
        <f>L16+Dane_kredytowe!F$12</f>
        <v>3.7433000000000001E-2</v>
      </c>
      <c r="N16" s="79">
        <f>MAX(Dane_kredytowe!F$17+SUM(AA$5:AA15)-SUM(X$5:X16)+SUM(W$5:W16),0)</f>
        <v>95134.46</v>
      </c>
      <c r="O16" s="85">
        <f>MAX(Dane_kredytowe!F$8+SUM(V$5:V15)-SUM(S$5:S16)+SUM(R$5:R15),0)</f>
        <v>300000</v>
      </c>
      <c r="P16" s="67">
        <f t="shared" si="31"/>
        <v>360</v>
      </c>
      <c r="Q16" s="127" t="str">
        <f>IF(AND(K16&gt;0,K16&lt;=Dane_kredytowe!F$16),"tak","nie")</f>
        <v>nie</v>
      </c>
      <c r="R16" s="69"/>
      <c r="S16" s="86">
        <f>IF(Dane_kredytowe!F$19=B16,O15+V15,_xlfn.XLOOKUP(B16,Dane_kredytowe!M$9:M$18,Dane_kredytowe!N$9:N$18,0))</f>
        <v>0</v>
      </c>
      <c r="T16" s="71">
        <f t="shared" si="2"/>
        <v>0</v>
      </c>
      <c r="U16" s="72">
        <f>IF(Q16="tak",T16,IF(P16-SUM(AB$5:AB16)+1&gt;0,IF(Dane_kredytowe!F$9&lt;B16,IF(SUM(AB$5:AB16)-Dane_kredytowe!F$16+1&gt;0,PMT(M16/12,P16+1-SUM(AB$5:AB16),O16),T16),0),0))</f>
        <v>0</v>
      </c>
      <c r="V16" s="72">
        <f t="shared" si="32"/>
        <v>0</v>
      </c>
      <c r="W16" s="19" t="str">
        <f t="shared" si="33"/>
        <v xml:space="preserve"> </v>
      </c>
      <c r="X16" s="19">
        <f t="shared" si="3"/>
        <v>0</v>
      </c>
      <c r="Y16" s="73">
        <f t="shared" si="4"/>
        <v>0</v>
      </c>
      <c r="Z16" s="19">
        <f>IF(P16-SUM(AB$5:AB16)+1&gt;0,IF(Dane_kredytowe!F$9&lt;B16,IF(SUM(AB$5:AB16)-Dane_kredytowe!F$16+1&gt;0,PMT(M16/12,P16+1-SUM(AB$5:AB16),N16),Y16),0),0)</f>
        <v>0</v>
      </c>
      <c r="AA16" s="19">
        <f t="shared" si="34"/>
        <v>0</v>
      </c>
      <c r="AB16" s="20" t="str">
        <f>IF(AND(Dane_kredytowe!F$9&lt;B16,SUM(AB$5:AB15)&lt;P15),1," ")</f>
        <v xml:space="preserve"> </v>
      </c>
      <c r="AD16" s="75">
        <f>IF(OR(B16&lt;Dane_kredytowe!F$15,Dane_kredytowe!F$15=""),-F16+S16,0)</f>
        <v>0</v>
      </c>
      <c r="AE16" s="75">
        <f t="shared" si="5"/>
        <v>0</v>
      </c>
      <c r="AG16" s="22">
        <f>Dane_kredytowe!F$17-SUM(AI$5:AI15)+SUM(W16:W$42)-SUM(X16:X$42)</f>
        <v>95134.46</v>
      </c>
      <c r="AH16" s="22">
        <f t="shared" si="6"/>
        <v>0</v>
      </c>
      <c r="AI16" s="22">
        <f t="shared" si="7"/>
        <v>0</v>
      </c>
      <c r="AJ16" s="22">
        <f t="shared" si="35"/>
        <v>0</v>
      </c>
      <c r="AK16" s="22">
        <f t="shared" si="8"/>
        <v>0</v>
      </c>
      <c r="AL16" s="22">
        <f>Dane_kredytowe!F$8-SUM(AN$5:AN15)+SUM(R15:R$42)-SUM(S16:S$42)</f>
        <v>300000</v>
      </c>
      <c r="AM16" s="22">
        <f t="shared" si="9"/>
        <v>0</v>
      </c>
      <c r="AN16" s="22">
        <f t="shared" si="10"/>
        <v>0</v>
      </c>
      <c r="AO16" s="22">
        <f t="shared" si="36"/>
        <v>0</v>
      </c>
      <c r="AP16" s="22">
        <f t="shared" si="37"/>
        <v>0</v>
      </c>
      <c r="AR16" s="87">
        <f t="shared" si="11"/>
        <v>37591</v>
      </c>
      <c r="AS16" s="23">
        <f>AS$5+SUM(AV$5:AV15)-SUM(X$5:X16)+SUM(W$5:W16)</f>
        <v>139056.27143784185</v>
      </c>
      <c r="AT16" s="22">
        <f t="shared" si="12"/>
        <v>0</v>
      </c>
      <c r="AU16" s="22">
        <f>IF(AB16=1,IF(Q16="tak",AT16,PMT(M16/12,P16+1-SUM(AB$5:AB16),AS16)),0)</f>
        <v>0</v>
      </c>
      <c r="AV16" s="22">
        <f t="shared" si="38"/>
        <v>0</v>
      </c>
      <c r="AW16" s="22">
        <f t="shared" si="13"/>
        <v>0</v>
      </c>
      <c r="AY16" s="23">
        <f>AY$5+SUM(BA$5:BA15)+SUM(W$5:W15)-SUM(X$5:X15)</f>
        <v>139056.27143784185</v>
      </c>
      <c r="AZ16" s="23">
        <f t="shared" si="14"/>
        <v>0</v>
      </c>
      <c r="BA16" s="23">
        <f t="shared" si="15"/>
        <v>0</v>
      </c>
      <c r="BB16" s="23">
        <f t="shared" si="39"/>
        <v>0</v>
      </c>
      <c r="BC16" s="23">
        <f t="shared" si="16"/>
        <v>0</v>
      </c>
      <c r="BE16" s="88">
        <f t="shared" si="17"/>
        <v>6.7000000000000004E-2</v>
      </c>
      <c r="BF16" s="89">
        <f>BE16+Dane_kredytowe!F$12</f>
        <v>9.7000000000000003E-2</v>
      </c>
      <c r="BG16" s="23">
        <f>BG$5+SUM(BH$5:BH15)+SUM(R$5:R15)-SUM(S$5:S15)</f>
        <v>300000</v>
      </c>
      <c r="BH16" s="22">
        <f t="shared" si="40"/>
        <v>0</v>
      </c>
      <c r="BI16" s="22">
        <f t="shared" si="41"/>
        <v>0</v>
      </c>
      <c r="BJ16" s="22">
        <f>IF(U16&lt;0,PMT(BF16/12,Dane_kredytowe!F$13-SUM(AB$5:AB16)+1,BG16),0)</f>
        <v>0</v>
      </c>
      <c r="BL16" s="23">
        <f>BL$5+SUM(BN$5:BN15)+SUM(R$5:R15)-SUM(S$5:S15)</f>
        <v>300000</v>
      </c>
      <c r="BM16" s="23">
        <f t="shared" si="18"/>
        <v>0</v>
      </c>
      <c r="BN16" s="23">
        <f t="shared" si="19"/>
        <v>0</v>
      </c>
      <c r="BO16" s="23">
        <f t="shared" si="20"/>
        <v>0</v>
      </c>
      <c r="BQ16" s="89">
        <f t="shared" si="42"/>
        <v>8.3699999999999997E-2</v>
      </c>
      <c r="BR16" s="23">
        <f>BR$5+SUM(BS$5:BS15)+SUM(R$5:R15)-SUM(S$5:S15)+SUM(BV$5:BV15)</f>
        <v>300000</v>
      </c>
      <c r="BS16" s="22">
        <f t="shared" si="49"/>
        <v>0</v>
      </c>
      <c r="BT16" s="22">
        <f t="shared" si="50"/>
        <v>0</v>
      </c>
      <c r="BU16" s="22">
        <f>IF(U16&lt;0,PMT(BQ16/12,Dane_kredytowe!F$13-SUM(AB$5:AB16)+1,BR16),0)</f>
        <v>0</v>
      </c>
      <c r="BV16" s="22">
        <f t="shared" si="43"/>
        <v>0</v>
      </c>
      <c r="BX16" s="23">
        <f>BX$5+SUM(BZ$5:BZ15)+SUM(R$5:R15)-SUM(S$5:S15)+SUM(CB$5,CB15)</f>
        <v>300000</v>
      </c>
      <c r="BY16" s="22">
        <f t="shared" si="21"/>
        <v>0</v>
      </c>
      <c r="BZ16" s="22">
        <f t="shared" si="22"/>
        <v>0</v>
      </c>
      <c r="CA16" s="22">
        <f t="shared" si="51"/>
        <v>0</v>
      </c>
      <c r="CB16" s="22">
        <f t="shared" si="52"/>
        <v>0</v>
      </c>
      <c r="CD16" s="22">
        <f>CD$5+SUM(CE$5:CE15)+SUM(R$5:R15)-SUM(S$5:S15)-SUM(CF$5:CF15)</f>
        <v>300000</v>
      </c>
      <c r="CE16" s="22">
        <f t="shared" si="44"/>
        <v>0</v>
      </c>
      <c r="CF16" s="22">
        <f t="shared" si="23"/>
        <v>0</v>
      </c>
      <c r="CG16" s="22">
        <f t="shared" si="45"/>
        <v>0</v>
      </c>
      <c r="CI16" s="89">
        <f t="shared" si="24"/>
        <v>0.96220000000000006</v>
      </c>
      <c r="CJ16" s="22">
        <f t="shared" si="25"/>
        <v>0</v>
      </c>
      <c r="CK16" s="15">
        <f t="shared" si="46"/>
        <v>0</v>
      </c>
      <c r="CM16" s="22">
        <f t="shared" si="47"/>
        <v>0</v>
      </c>
      <c r="CN16" s="15">
        <f t="shared" si="53"/>
        <v>0</v>
      </c>
    </row>
    <row r="17" spans="1:92">
      <c r="A17" s="25">
        <v>2003</v>
      </c>
      <c r="B17" s="91">
        <v>37622</v>
      </c>
      <c r="C17" s="81">
        <f t="shared" si="0"/>
        <v>2.7816000000000001</v>
      </c>
      <c r="D17" s="82">
        <f t="shared" si="48"/>
        <v>2.8650480000000003</v>
      </c>
      <c r="E17" s="73">
        <f t="shared" si="26"/>
        <v>0</v>
      </c>
      <c r="F17" s="19">
        <f t="shared" si="27"/>
        <v>0</v>
      </c>
      <c r="G17" s="19">
        <f t="shared" si="28"/>
        <v>0</v>
      </c>
      <c r="H17" s="19">
        <f t="shared" si="29"/>
        <v>0</v>
      </c>
      <c r="I17" s="62"/>
      <c r="J17" s="15" t="str">
        <f t="shared" si="30"/>
        <v xml:space="preserve"> </v>
      </c>
      <c r="K17" s="15">
        <f>IF(B17&lt;=Dane_kredytowe!F$9,0,K16+1)</f>
        <v>0</v>
      </c>
      <c r="L17" s="83">
        <f t="shared" si="1"/>
        <v>6.0169999999999998E-3</v>
      </c>
      <c r="M17" s="84">
        <f>L17+Dane_kredytowe!F$12</f>
        <v>3.6017E-2</v>
      </c>
      <c r="N17" s="79">
        <f>MAX(Dane_kredytowe!F$17+SUM(AA$5:AA16)-SUM(X$5:X17)+SUM(W$5:W17),0)</f>
        <v>95134.46</v>
      </c>
      <c r="O17" s="85">
        <f>MAX(Dane_kredytowe!F$8+SUM(V$5:V16)-SUM(S$5:S17)+SUM(R$5:R16),0)</f>
        <v>300000</v>
      </c>
      <c r="P17" s="67">
        <f t="shared" si="31"/>
        <v>360</v>
      </c>
      <c r="Q17" s="127" t="str">
        <f>IF(AND(K17&gt;0,K17&lt;=Dane_kredytowe!F$16),"tak","nie")</f>
        <v>nie</v>
      </c>
      <c r="R17" s="69"/>
      <c r="S17" s="86">
        <f>IF(Dane_kredytowe!F$19=B17,O16+V16,_xlfn.XLOOKUP(B17,Dane_kredytowe!M$9:M$18,Dane_kredytowe!N$9:N$18,0))</f>
        <v>0</v>
      </c>
      <c r="T17" s="71">
        <f t="shared" si="2"/>
        <v>0</v>
      </c>
      <c r="U17" s="72">
        <f>IF(Q17="tak",T17,IF(P17-SUM(AB$5:AB17)+1&gt;0,IF(Dane_kredytowe!F$9&lt;B17,IF(SUM(AB$5:AB17)-Dane_kredytowe!F$16+1&gt;0,PMT(M17/12,P17+1-SUM(AB$5:AB17),O17),T17),0),0))</f>
        <v>0</v>
      </c>
      <c r="V17" s="72">
        <f t="shared" si="32"/>
        <v>0</v>
      </c>
      <c r="W17" s="19" t="str">
        <f t="shared" si="33"/>
        <v xml:space="preserve"> </v>
      </c>
      <c r="X17" s="19">
        <f t="shared" si="3"/>
        <v>0</v>
      </c>
      <c r="Y17" s="73">
        <f t="shared" si="4"/>
        <v>0</v>
      </c>
      <c r="Z17" s="19">
        <f>IF(P17-SUM(AB$5:AB17)+1&gt;0,IF(Dane_kredytowe!F$9&lt;B17,IF(SUM(AB$5:AB17)-Dane_kredytowe!F$16+1&gt;0,PMT(M17/12,P17+1-SUM(AB$5:AB17),N17),Y17),0),0)</f>
        <v>0</v>
      </c>
      <c r="AA17" s="19">
        <f t="shared" si="34"/>
        <v>0</v>
      </c>
      <c r="AB17" s="20" t="str">
        <f>IF(AND(Dane_kredytowe!F$9&lt;B17,SUM(AB$5:AB16)&lt;P16),1," ")</f>
        <v xml:space="preserve"> </v>
      </c>
      <c r="AD17" s="75">
        <f>IF(OR(B17&lt;Dane_kredytowe!F$15,Dane_kredytowe!F$15=""),-F17+S17,0)</f>
        <v>0</v>
      </c>
      <c r="AE17" s="75">
        <f t="shared" si="5"/>
        <v>0</v>
      </c>
      <c r="AG17" s="22">
        <f>Dane_kredytowe!F$17-SUM(AI$5:AI16)+SUM(W17:W$42)-SUM(X17:X$42)</f>
        <v>95134.46</v>
      </c>
      <c r="AH17" s="22">
        <f t="shared" si="6"/>
        <v>0</v>
      </c>
      <c r="AI17" s="22">
        <f t="shared" si="7"/>
        <v>0</v>
      </c>
      <c r="AJ17" s="22">
        <f t="shared" si="35"/>
        <v>0</v>
      </c>
      <c r="AK17" s="22">
        <f t="shared" si="8"/>
        <v>0</v>
      </c>
      <c r="AL17" s="22">
        <f>Dane_kredytowe!F$8-SUM(AN$5:AN16)+SUM(R16:R$42)-SUM(S17:S$42)</f>
        <v>300000</v>
      </c>
      <c r="AM17" s="22">
        <f t="shared" si="9"/>
        <v>0</v>
      </c>
      <c r="AN17" s="22">
        <f t="shared" si="10"/>
        <v>0</v>
      </c>
      <c r="AO17" s="22">
        <f t="shared" si="36"/>
        <v>0</v>
      </c>
      <c r="AP17" s="22">
        <f t="shared" si="37"/>
        <v>0</v>
      </c>
      <c r="AR17" s="87">
        <f t="shared" si="11"/>
        <v>37622</v>
      </c>
      <c r="AS17" s="23">
        <f>AS$5+SUM(AV$5:AV16)-SUM(X$5:X17)+SUM(W$5:W17)</f>
        <v>139056.27143784185</v>
      </c>
      <c r="AT17" s="22">
        <f t="shared" si="12"/>
        <v>0</v>
      </c>
      <c r="AU17" s="22">
        <f>IF(AB17=1,IF(Q17="tak",AT17,PMT(M17/12,P17+1-SUM(AB$5:AB17),AS17)),0)</f>
        <v>0</v>
      </c>
      <c r="AV17" s="22">
        <f t="shared" si="38"/>
        <v>0</v>
      </c>
      <c r="AW17" s="22">
        <f t="shared" si="13"/>
        <v>0</v>
      </c>
      <c r="AY17" s="23">
        <f>AY$5+SUM(BA$5:BA16)+SUM(W$5:W16)-SUM(X$5:X16)</f>
        <v>139056.27143784185</v>
      </c>
      <c r="AZ17" s="23">
        <f t="shared" si="14"/>
        <v>0</v>
      </c>
      <c r="BA17" s="23">
        <f t="shared" si="15"/>
        <v>0</v>
      </c>
      <c r="BB17" s="23">
        <f t="shared" si="39"/>
        <v>0</v>
      </c>
      <c r="BC17" s="23">
        <f t="shared" si="16"/>
        <v>0</v>
      </c>
      <c r="BE17" s="88">
        <f t="shared" si="17"/>
        <v>6.7799999999999999E-2</v>
      </c>
      <c r="BF17" s="89">
        <f>BE17+Dane_kredytowe!F$12</f>
        <v>9.7799999999999998E-2</v>
      </c>
      <c r="BG17" s="23">
        <f>BG$5+SUM(BH$5:BH16)+SUM(R$5:R16)-SUM(S$5:S16)</f>
        <v>300000</v>
      </c>
      <c r="BH17" s="22">
        <f t="shared" si="40"/>
        <v>0</v>
      </c>
      <c r="BI17" s="22">
        <f t="shared" si="41"/>
        <v>0</v>
      </c>
      <c r="BJ17" s="22">
        <f>IF(U17&lt;0,PMT(BF17/12,Dane_kredytowe!F$13-SUM(AB$5:AB17)+1,BG17),0)</f>
        <v>0</v>
      </c>
      <c r="BL17" s="23">
        <f>BL$5+SUM(BN$5:BN16)+SUM(R$5:R16)-SUM(S$5:S16)</f>
        <v>300000</v>
      </c>
      <c r="BM17" s="23">
        <f t="shared" si="18"/>
        <v>0</v>
      </c>
      <c r="BN17" s="23">
        <f t="shared" si="19"/>
        <v>0</v>
      </c>
      <c r="BO17" s="23">
        <f t="shared" si="20"/>
        <v>0</v>
      </c>
      <c r="BQ17" s="89">
        <f t="shared" si="42"/>
        <v>8.4499999999999992E-2</v>
      </c>
      <c r="BR17" s="23">
        <f>BR$5+SUM(BS$5:BS16)+SUM(R$5:R16)-SUM(S$5:S16)+SUM(BV$5:BV16)</f>
        <v>300000</v>
      </c>
      <c r="BS17" s="22">
        <f t="shared" si="49"/>
        <v>0</v>
      </c>
      <c r="BT17" s="22">
        <f t="shared" si="50"/>
        <v>0</v>
      </c>
      <c r="BU17" s="22">
        <f>IF(U17&lt;0,PMT(BQ17/12,Dane_kredytowe!F$13-SUM(AB$5:AB17)+1,BR17),0)</f>
        <v>0</v>
      </c>
      <c r="BV17" s="22">
        <f t="shared" si="43"/>
        <v>0</v>
      </c>
      <c r="BX17" s="23">
        <f>BX$5+SUM(BZ$5:BZ16)+SUM(R$5:R16)-SUM(S$5:S16)+SUM(CB$5,CB16)</f>
        <v>300000</v>
      </c>
      <c r="BY17" s="22">
        <f t="shared" si="21"/>
        <v>0</v>
      </c>
      <c r="BZ17" s="22">
        <f t="shared" si="22"/>
        <v>0</v>
      </c>
      <c r="CA17" s="22">
        <f t="shared" si="51"/>
        <v>0</v>
      </c>
      <c r="CB17" s="22">
        <f t="shared" si="52"/>
        <v>0</v>
      </c>
      <c r="CD17" s="22">
        <f>CD$5+SUM(CE$5:CE16)+SUM(R$5:R16)-SUM(S$5:S16)-SUM(CF$5:CF16)</f>
        <v>300000</v>
      </c>
      <c r="CE17" s="22">
        <f t="shared" si="44"/>
        <v>0</v>
      </c>
      <c r="CF17" s="22">
        <f t="shared" si="23"/>
        <v>0</v>
      </c>
      <c r="CG17" s="22">
        <f t="shared" si="45"/>
        <v>0</v>
      </c>
      <c r="CI17" s="89">
        <f t="shared" si="24"/>
        <v>0.95440000000000003</v>
      </c>
      <c r="CJ17" s="22">
        <f t="shared" si="25"/>
        <v>0</v>
      </c>
      <c r="CK17" s="15">
        <f t="shared" si="46"/>
        <v>0</v>
      </c>
      <c r="CM17" s="22">
        <f t="shared" si="47"/>
        <v>0</v>
      </c>
      <c r="CN17" s="15">
        <f t="shared" si="53"/>
        <v>0</v>
      </c>
    </row>
    <row r="18" spans="1:92">
      <c r="A18" s="25"/>
      <c r="B18" s="90">
        <v>37653</v>
      </c>
      <c r="C18" s="81">
        <f t="shared" si="0"/>
        <v>2.8380999999999998</v>
      </c>
      <c r="D18" s="82">
        <f t="shared" si="48"/>
        <v>2.9232429999999998</v>
      </c>
      <c r="E18" s="73">
        <f t="shared" si="26"/>
        <v>0</v>
      </c>
      <c r="F18" s="19">
        <f t="shared" si="27"/>
        <v>0</v>
      </c>
      <c r="G18" s="19">
        <f t="shared" si="28"/>
        <v>0</v>
      </c>
      <c r="H18" s="19">
        <f t="shared" si="29"/>
        <v>0</v>
      </c>
      <c r="I18" s="62"/>
      <c r="J18" s="15" t="str">
        <f t="shared" si="30"/>
        <v xml:space="preserve"> </v>
      </c>
      <c r="K18" s="15">
        <f>IF(B18&lt;=Dane_kredytowe!F$9,0,K17+1)</f>
        <v>0</v>
      </c>
      <c r="L18" s="83">
        <f t="shared" si="1"/>
        <v>6.0670000000000003E-3</v>
      </c>
      <c r="M18" s="84">
        <f>L18+Dane_kredytowe!F$12</f>
        <v>3.6067000000000002E-2</v>
      </c>
      <c r="N18" s="79">
        <f>MAX(Dane_kredytowe!F$17+SUM(AA$5:AA17)-SUM(X$5:X18)+SUM(W$5:W18),0)</f>
        <v>95134.46</v>
      </c>
      <c r="O18" s="85">
        <f>MAX(Dane_kredytowe!F$8+SUM(V$5:V17)-SUM(S$5:S18)+SUM(R$5:R17),0)</f>
        <v>300000</v>
      </c>
      <c r="P18" s="67">
        <f t="shared" si="31"/>
        <v>360</v>
      </c>
      <c r="Q18" s="127" t="str">
        <f>IF(AND(K18&gt;0,K18&lt;=Dane_kredytowe!F$16),"tak","nie")</f>
        <v>nie</v>
      </c>
      <c r="R18" s="69"/>
      <c r="S18" s="86">
        <f>IF(Dane_kredytowe!F$19=B18,O17+V17,_xlfn.XLOOKUP(B18,Dane_kredytowe!M$9:M$18,Dane_kredytowe!N$9:N$18,0))</f>
        <v>0</v>
      </c>
      <c r="T18" s="71">
        <f t="shared" si="2"/>
        <v>0</v>
      </c>
      <c r="U18" s="72">
        <f>IF(Q18="tak",T18,IF(P18-SUM(AB$5:AB18)+1&gt;0,IF(Dane_kredytowe!F$9&lt;B18,IF(SUM(AB$5:AB18)-Dane_kredytowe!F$16+1&gt;0,PMT(M18/12,P18+1-SUM(AB$5:AB18),O18),T18),0),0))</f>
        <v>0</v>
      </c>
      <c r="V18" s="72">
        <f t="shared" si="32"/>
        <v>0</v>
      </c>
      <c r="W18" s="19" t="str">
        <f t="shared" si="33"/>
        <v xml:space="preserve"> </v>
      </c>
      <c r="X18" s="19">
        <f t="shared" si="3"/>
        <v>0</v>
      </c>
      <c r="Y18" s="73">
        <f t="shared" si="4"/>
        <v>0</v>
      </c>
      <c r="Z18" s="19">
        <f>IF(P18-SUM(AB$5:AB18)+1&gt;0,IF(Dane_kredytowe!F$9&lt;B18,IF(SUM(AB$5:AB18)-Dane_kredytowe!F$16+1&gt;0,PMT(M18/12,P18+1-SUM(AB$5:AB18),N18),Y18),0),0)</f>
        <v>0</v>
      </c>
      <c r="AA18" s="19">
        <f t="shared" si="34"/>
        <v>0</v>
      </c>
      <c r="AB18" s="20" t="str">
        <f>IF(AND(Dane_kredytowe!F$9&lt;B18,SUM(AB$5:AB17)&lt;P17),1," ")</f>
        <v xml:space="preserve"> </v>
      </c>
      <c r="AD18" s="75">
        <f>IF(OR(B18&lt;Dane_kredytowe!F$15,Dane_kredytowe!F$15=""),-F18+S18,0)</f>
        <v>0</v>
      </c>
      <c r="AE18" s="75">
        <f t="shared" si="5"/>
        <v>0</v>
      </c>
      <c r="AG18" s="22">
        <f>Dane_kredytowe!F$17-SUM(AI$5:AI17)+SUM(W18:W$42)-SUM(X18:X$42)</f>
        <v>95134.46</v>
      </c>
      <c r="AH18" s="22">
        <f t="shared" si="6"/>
        <v>0</v>
      </c>
      <c r="AI18" s="22">
        <f t="shared" si="7"/>
        <v>0</v>
      </c>
      <c r="AJ18" s="22">
        <f t="shared" si="35"/>
        <v>0</v>
      </c>
      <c r="AK18" s="22">
        <f t="shared" si="8"/>
        <v>0</v>
      </c>
      <c r="AL18" s="22">
        <f>Dane_kredytowe!F$8-SUM(AN$5:AN17)+SUM(R17:R$42)-SUM(S18:S$42)</f>
        <v>300000</v>
      </c>
      <c r="AM18" s="22">
        <f t="shared" si="9"/>
        <v>0</v>
      </c>
      <c r="AN18" s="22">
        <f t="shared" si="10"/>
        <v>0</v>
      </c>
      <c r="AO18" s="22">
        <f t="shared" si="36"/>
        <v>0</v>
      </c>
      <c r="AP18" s="22">
        <f t="shared" si="37"/>
        <v>0</v>
      </c>
      <c r="AR18" s="87">
        <f t="shared" si="11"/>
        <v>37653</v>
      </c>
      <c r="AS18" s="23">
        <f>AS$5+SUM(AV$5:AV17)-SUM(X$5:X18)+SUM(W$5:W18)</f>
        <v>139056.27143784185</v>
      </c>
      <c r="AT18" s="22">
        <f t="shared" si="12"/>
        <v>0</v>
      </c>
      <c r="AU18" s="22">
        <f>IF(AB18=1,IF(Q18="tak",AT18,PMT(M18/12,P18+1-SUM(AB$5:AB18),AS18)),0)</f>
        <v>0</v>
      </c>
      <c r="AV18" s="22">
        <f t="shared" si="38"/>
        <v>0</v>
      </c>
      <c r="AW18" s="22">
        <f t="shared" si="13"/>
        <v>0</v>
      </c>
      <c r="AY18" s="23">
        <f>AY$5+SUM(BA$5:BA17)+SUM(W$5:W17)-SUM(X$5:X17)</f>
        <v>139056.27143784185</v>
      </c>
      <c r="AZ18" s="23">
        <f t="shared" si="14"/>
        <v>0</v>
      </c>
      <c r="BA18" s="23">
        <f t="shared" si="15"/>
        <v>0</v>
      </c>
      <c r="BB18" s="23">
        <f t="shared" si="39"/>
        <v>0</v>
      </c>
      <c r="BC18" s="23">
        <f t="shared" si="16"/>
        <v>0</v>
      </c>
      <c r="BE18" s="88">
        <f t="shared" si="17"/>
        <v>6.4399999999999999E-2</v>
      </c>
      <c r="BF18" s="89">
        <f>BE18+Dane_kredytowe!F$12</f>
        <v>9.4399999999999998E-2</v>
      </c>
      <c r="BG18" s="23">
        <f>BG$5+SUM(BH$5:BH17)+SUM(R$5:R17)-SUM(S$5:S17)</f>
        <v>300000</v>
      </c>
      <c r="BH18" s="22">
        <f t="shared" si="40"/>
        <v>0</v>
      </c>
      <c r="BI18" s="22">
        <f t="shared" si="41"/>
        <v>0</v>
      </c>
      <c r="BJ18" s="22">
        <f>IF(U18&lt;0,PMT(BF18/12,Dane_kredytowe!F$13-SUM(AB$5:AB18)+1,BG18),0)</f>
        <v>0</v>
      </c>
      <c r="BL18" s="23">
        <f>BL$5+SUM(BN$5:BN17)+SUM(R$5:R17)-SUM(S$5:S17)</f>
        <v>300000</v>
      </c>
      <c r="BM18" s="23">
        <f t="shared" si="18"/>
        <v>0</v>
      </c>
      <c r="BN18" s="23">
        <f t="shared" si="19"/>
        <v>0</v>
      </c>
      <c r="BO18" s="23">
        <f t="shared" si="20"/>
        <v>0</v>
      </c>
      <c r="BQ18" s="89">
        <f t="shared" si="42"/>
        <v>8.1100000000000005E-2</v>
      </c>
      <c r="BR18" s="23">
        <f>BR$5+SUM(BS$5:BS17)+SUM(R$5:R17)-SUM(S$5:S17)+SUM(BV$5:BV17)</f>
        <v>300000</v>
      </c>
      <c r="BS18" s="22">
        <f t="shared" si="49"/>
        <v>0</v>
      </c>
      <c r="BT18" s="22">
        <f t="shared" si="50"/>
        <v>0</v>
      </c>
      <c r="BU18" s="22">
        <f>IF(U18&lt;0,PMT(BQ18/12,Dane_kredytowe!F$13-SUM(AB$5:AB18)+1,BR18),0)</f>
        <v>0</v>
      </c>
      <c r="BV18" s="22">
        <f t="shared" si="43"/>
        <v>0</v>
      </c>
      <c r="BX18" s="23">
        <f>BX$5+SUM(BZ$5:BZ17)+SUM(R$5:R17)-SUM(S$5:S17)+SUM(CB$5,CB17)</f>
        <v>300000</v>
      </c>
      <c r="BY18" s="22">
        <f t="shared" si="21"/>
        <v>0</v>
      </c>
      <c r="BZ18" s="22">
        <f t="shared" si="22"/>
        <v>0</v>
      </c>
      <c r="CA18" s="22">
        <f t="shared" si="51"/>
        <v>0</v>
      </c>
      <c r="CB18" s="22">
        <f t="shared" si="52"/>
        <v>0</v>
      </c>
      <c r="CD18" s="22">
        <f>CD$5+SUM(CE$5:CE17)+SUM(R$5:R17)-SUM(S$5:S17)-SUM(CF$5:CF17)</f>
        <v>300000</v>
      </c>
      <c r="CE18" s="22">
        <f t="shared" si="44"/>
        <v>0</v>
      </c>
      <c r="CF18" s="22">
        <f t="shared" si="23"/>
        <v>0</v>
      </c>
      <c r="CG18" s="22">
        <f t="shared" si="45"/>
        <v>0</v>
      </c>
      <c r="CI18" s="89">
        <f t="shared" si="24"/>
        <v>0.95240000000000002</v>
      </c>
      <c r="CJ18" s="22">
        <f t="shared" si="25"/>
        <v>0</v>
      </c>
      <c r="CK18" s="15">
        <f t="shared" si="46"/>
        <v>0</v>
      </c>
      <c r="CM18" s="22">
        <f t="shared" si="47"/>
        <v>0</v>
      </c>
      <c r="CN18" s="15">
        <f t="shared" si="53"/>
        <v>0</v>
      </c>
    </row>
    <row r="19" spans="1:92">
      <c r="A19" s="25"/>
      <c r="B19" s="90">
        <v>37681</v>
      </c>
      <c r="C19" s="81">
        <f t="shared" si="0"/>
        <v>2.9426000000000001</v>
      </c>
      <c r="D19" s="82">
        <f t="shared" si="48"/>
        <v>3.0308780000000004</v>
      </c>
      <c r="E19" s="73">
        <f t="shared" si="26"/>
        <v>0</v>
      </c>
      <c r="F19" s="19">
        <f t="shared" si="27"/>
        <v>0</v>
      </c>
      <c r="G19" s="19">
        <f t="shared" si="28"/>
        <v>0</v>
      </c>
      <c r="H19" s="19">
        <f t="shared" si="29"/>
        <v>0</v>
      </c>
      <c r="I19" s="62"/>
      <c r="J19" s="15" t="str">
        <f t="shared" si="30"/>
        <v xml:space="preserve"> </v>
      </c>
      <c r="K19" s="15">
        <f>IF(B19&lt;=Dane_kredytowe!F$9,0,K18+1)</f>
        <v>0</v>
      </c>
      <c r="L19" s="83">
        <f t="shared" si="1"/>
        <v>5.7330000000000002E-3</v>
      </c>
      <c r="M19" s="84">
        <f>L19+Dane_kredytowe!F$12</f>
        <v>3.5733000000000001E-2</v>
      </c>
      <c r="N19" s="79">
        <f>MAX(Dane_kredytowe!F$17+SUM(AA$5:AA18)-SUM(X$5:X19)+SUM(W$5:W19),0)</f>
        <v>95134.46</v>
      </c>
      <c r="O19" s="85">
        <f>MAX(Dane_kredytowe!F$8+SUM(V$5:V18)-SUM(S$5:S19)+SUM(R$5:R18),0)</f>
        <v>300000</v>
      </c>
      <c r="P19" s="67">
        <f t="shared" si="31"/>
        <v>360</v>
      </c>
      <c r="Q19" s="127" t="str">
        <f>IF(AND(K19&gt;0,K19&lt;=Dane_kredytowe!F$16),"tak","nie")</f>
        <v>nie</v>
      </c>
      <c r="R19" s="69"/>
      <c r="S19" s="86">
        <f>IF(Dane_kredytowe!F$19=B19,O18+V18,_xlfn.XLOOKUP(B19,Dane_kredytowe!M$9:M$18,Dane_kredytowe!N$9:N$18,0))</f>
        <v>0</v>
      </c>
      <c r="T19" s="71">
        <f t="shared" si="2"/>
        <v>0</v>
      </c>
      <c r="U19" s="72">
        <f>IF(Q19="tak",T19,IF(P19-SUM(AB$5:AB19)+1&gt;0,IF(Dane_kredytowe!F$9&lt;B19,IF(SUM(AB$5:AB19)-Dane_kredytowe!F$16+1&gt;0,PMT(M19/12,P19+1-SUM(AB$5:AB19),O19),T19),0),0))</f>
        <v>0</v>
      </c>
      <c r="V19" s="72">
        <f t="shared" si="32"/>
        <v>0</v>
      </c>
      <c r="W19" s="19" t="str">
        <f t="shared" si="33"/>
        <v xml:space="preserve"> </v>
      </c>
      <c r="X19" s="19">
        <f t="shared" si="3"/>
        <v>0</v>
      </c>
      <c r="Y19" s="73">
        <f t="shared" si="4"/>
        <v>0</v>
      </c>
      <c r="Z19" s="19">
        <f>IF(P19-SUM(AB$5:AB19)+1&gt;0,IF(Dane_kredytowe!F$9&lt;B19,IF(SUM(AB$5:AB19)-Dane_kredytowe!F$16+1&gt;0,PMT(M19/12,P19+1-SUM(AB$5:AB19),N19),Y19),0),0)</f>
        <v>0</v>
      </c>
      <c r="AA19" s="19">
        <f t="shared" si="34"/>
        <v>0</v>
      </c>
      <c r="AB19" s="20" t="str">
        <f>IF(AND(Dane_kredytowe!F$9&lt;B19,SUM(AB$5:AB18)&lt;P18),1," ")</f>
        <v xml:space="preserve"> </v>
      </c>
      <c r="AD19" s="75">
        <f>IF(OR(B19&lt;Dane_kredytowe!F$15,Dane_kredytowe!F$15=""),-F19+S19,0)</f>
        <v>0</v>
      </c>
      <c r="AE19" s="75">
        <f t="shared" si="5"/>
        <v>0</v>
      </c>
      <c r="AG19" s="22">
        <f>Dane_kredytowe!F$17-SUM(AI$5:AI18)+SUM(W19:W$42)-SUM(X19:X$42)</f>
        <v>95134.46</v>
      </c>
      <c r="AH19" s="22">
        <f t="shared" si="6"/>
        <v>0</v>
      </c>
      <c r="AI19" s="22">
        <f t="shared" si="7"/>
        <v>0</v>
      </c>
      <c r="AJ19" s="22">
        <f t="shared" si="35"/>
        <v>0</v>
      </c>
      <c r="AK19" s="22">
        <f t="shared" si="8"/>
        <v>0</v>
      </c>
      <c r="AL19" s="22">
        <f>Dane_kredytowe!F$8-SUM(AN$5:AN18)+SUM(R18:R$42)-SUM(S19:S$42)</f>
        <v>300000</v>
      </c>
      <c r="AM19" s="22">
        <f t="shared" si="9"/>
        <v>0</v>
      </c>
      <c r="AN19" s="22">
        <f t="shared" si="10"/>
        <v>0</v>
      </c>
      <c r="AO19" s="22">
        <f t="shared" si="36"/>
        <v>0</v>
      </c>
      <c r="AP19" s="22">
        <f t="shared" si="37"/>
        <v>0</v>
      </c>
      <c r="AR19" s="87">
        <f t="shared" si="11"/>
        <v>37681</v>
      </c>
      <c r="AS19" s="23">
        <f>AS$5+SUM(AV$5:AV18)-SUM(X$5:X19)+SUM(W$5:W19)</f>
        <v>139056.27143784185</v>
      </c>
      <c r="AT19" s="22">
        <f t="shared" si="12"/>
        <v>0</v>
      </c>
      <c r="AU19" s="22">
        <f>IF(AB19=1,IF(Q19="tak",AT19,PMT(M19/12,P19+1-SUM(AB$5:AB19),AS19)),0)</f>
        <v>0</v>
      </c>
      <c r="AV19" s="22">
        <f t="shared" si="38"/>
        <v>0</v>
      </c>
      <c r="AW19" s="22">
        <f t="shared" si="13"/>
        <v>0</v>
      </c>
      <c r="AY19" s="23">
        <f>AY$5+SUM(BA$5:BA18)+SUM(W$5:W18)-SUM(X$5:X18)</f>
        <v>139056.27143784185</v>
      </c>
      <c r="AZ19" s="23">
        <f t="shared" si="14"/>
        <v>0</v>
      </c>
      <c r="BA19" s="23">
        <f t="shared" si="15"/>
        <v>0</v>
      </c>
      <c r="BB19" s="23">
        <f t="shared" si="39"/>
        <v>0</v>
      </c>
      <c r="BC19" s="23">
        <f t="shared" si="16"/>
        <v>0</v>
      </c>
      <c r="BE19" s="88">
        <f t="shared" si="17"/>
        <v>6.2799999999999995E-2</v>
      </c>
      <c r="BF19" s="89">
        <f>BE19+Dane_kredytowe!F$12</f>
        <v>9.2799999999999994E-2</v>
      </c>
      <c r="BG19" s="23">
        <f>BG$5+SUM(BH$5:BH18)+SUM(R$5:R18)-SUM(S$5:S18)</f>
        <v>300000</v>
      </c>
      <c r="BH19" s="22">
        <f t="shared" si="40"/>
        <v>0</v>
      </c>
      <c r="BI19" s="22">
        <f t="shared" si="41"/>
        <v>0</v>
      </c>
      <c r="BJ19" s="22">
        <f>IF(U19&lt;0,PMT(BF19/12,Dane_kredytowe!F$13-SUM(AB$5:AB19)+1,BG19),0)</f>
        <v>0</v>
      </c>
      <c r="BL19" s="23">
        <f>BL$5+SUM(BN$5:BN18)+SUM(R$5:R18)-SUM(S$5:S18)</f>
        <v>300000</v>
      </c>
      <c r="BM19" s="23">
        <f t="shared" si="18"/>
        <v>0</v>
      </c>
      <c r="BN19" s="23">
        <f t="shared" si="19"/>
        <v>0</v>
      </c>
      <c r="BO19" s="23">
        <f t="shared" si="20"/>
        <v>0</v>
      </c>
      <c r="BQ19" s="89">
        <f t="shared" si="42"/>
        <v>7.9499999999999987E-2</v>
      </c>
      <c r="BR19" s="23">
        <f>BR$5+SUM(BS$5:BS18)+SUM(R$5:R18)-SUM(S$5:S18)+SUM(BV$5:BV18)</f>
        <v>300000</v>
      </c>
      <c r="BS19" s="22">
        <f t="shared" si="49"/>
        <v>0</v>
      </c>
      <c r="BT19" s="22">
        <f t="shared" si="50"/>
        <v>0</v>
      </c>
      <c r="BU19" s="22">
        <f>IF(U19&lt;0,PMT(BQ19/12,Dane_kredytowe!F$13-SUM(AB$5:AB19)+1,BR19),0)</f>
        <v>0</v>
      </c>
      <c r="BV19" s="22">
        <f t="shared" si="43"/>
        <v>0</v>
      </c>
      <c r="BX19" s="23">
        <f>BX$5+SUM(BZ$5:BZ18)+SUM(R$5:R18)-SUM(S$5:S18)+SUM(CB$5,CB18)</f>
        <v>300000</v>
      </c>
      <c r="BY19" s="22">
        <f t="shared" si="21"/>
        <v>0</v>
      </c>
      <c r="BZ19" s="22">
        <f t="shared" si="22"/>
        <v>0</v>
      </c>
      <c r="CA19" s="22">
        <f t="shared" si="51"/>
        <v>0</v>
      </c>
      <c r="CB19" s="22">
        <f t="shared" si="52"/>
        <v>0</v>
      </c>
      <c r="CD19" s="22">
        <f>CD$5+SUM(CE$5:CE18)+SUM(R$5:R18)-SUM(S$5:S18)-SUM(CF$5:CF18)</f>
        <v>300000</v>
      </c>
      <c r="CE19" s="22">
        <f t="shared" si="44"/>
        <v>0</v>
      </c>
      <c r="CF19" s="22">
        <f t="shared" si="23"/>
        <v>0</v>
      </c>
      <c r="CG19" s="22">
        <f t="shared" si="45"/>
        <v>0</v>
      </c>
      <c r="CI19" s="89">
        <f t="shared" si="24"/>
        <v>0.9466</v>
      </c>
      <c r="CJ19" s="22">
        <f t="shared" si="25"/>
        <v>0</v>
      </c>
      <c r="CK19" s="15">
        <f t="shared" si="46"/>
        <v>0</v>
      </c>
      <c r="CM19" s="22">
        <f t="shared" si="47"/>
        <v>0</v>
      </c>
      <c r="CN19" s="15">
        <f t="shared" si="53"/>
        <v>0</v>
      </c>
    </row>
    <row r="20" spans="1:92">
      <c r="A20" s="25"/>
      <c r="B20" s="90">
        <v>37712</v>
      </c>
      <c r="C20" s="81">
        <f t="shared" si="0"/>
        <v>2.8725999999999998</v>
      </c>
      <c r="D20" s="82">
        <f t="shared" si="48"/>
        <v>2.9587779999999997</v>
      </c>
      <c r="E20" s="73">
        <f t="shared" si="26"/>
        <v>0</v>
      </c>
      <c r="F20" s="19">
        <f t="shared" si="27"/>
        <v>0</v>
      </c>
      <c r="G20" s="19">
        <f t="shared" si="28"/>
        <v>0</v>
      </c>
      <c r="H20" s="19">
        <f t="shared" si="29"/>
        <v>0</v>
      </c>
      <c r="I20" s="62"/>
      <c r="J20" s="15" t="str">
        <f t="shared" si="30"/>
        <v xml:space="preserve"> </v>
      </c>
      <c r="K20" s="15">
        <f>IF(B20&lt;=Dane_kredytowe!F$9,0,K19+1)</f>
        <v>0</v>
      </c>
      <c r="L20" s="83">
        <f t="shared" si="1"/>
        <v>3.0999999999999999E-3</v>
      </c>
      <c r="M20" s="84">
        <f>L20+Dane_kredytowe!F$12</f>
        <v>3.3099999999999997E-2</v>
      </c>
      <c r="N20" s="79">
        <f>MAX(Dane_kredytowe!F$17+SUM(AA$5:AA19)-SUM(X$5:X20)+SUM(W$5:W20),0)</f>
        <v>95134.46</v>
      </c>
      <c r="O20" s="85">
        <f>MAX(Dane_kredytowe!F$8+SUM(V$5:V19)-SUM(S$5:S20)+SUM(R$5:R19),0)</f>
        <v>300000</v>
      </c>
      <c r="P20" s="67">
        <f t="shared" si="31"/>
        <v>360</v>
      </c>
      <c r="Q20" s="127" t="str">
        <f>IF(AND(K20&gt;0,K20&lt;=Dane_kredytowe!F$16),"tak","nie")</f>
        <v>nie</v>
      </c>
      <c r="R20" s="69"/>
      <c r="S20" s="86">
        <f>IF(Dane_kredytowe!F$19=B20,O19+V19,_xlfn.XLOOKUP(B20,Dane_kredytowe!M$9:M$18,Dane_kredytowe!N$9:N$18,0))</f>
        <v>0</v>
      </c>
      <c r="T20" s="71">
        <f t="shared" si="2"/>
        <v>0</v>
      </c>
      <c r="U20" s="72">
        <f>IF(Q20="tak",T20,IF(P20-SUM(AB$5:AB20)+1&gt;0,IF(Dane_kredytowe!F$9&lt;B20,IF(SUM(AB$5:AB20)-Dane_kredytowe!F$16+1&gt;0,PMT(M20/12,P20+1-SUM(AB$5:AB20),O20),T20),0),0))</f>
        <v>0</v>
      </c>
      <c r="V20" s="72">
        <f t="shared" si="32"/>
        <v>0</v>
      </c>
      <c r="W20" s="19" t="str">
        <f t="shared" si="33"/>
        <v xml:space="preserve"> </v>
      </c>
      <c r="X20" s="19">
        <f t="shared" si="3"/>
        <v>0</v>
      </c>
      <c r="Y20" s="73">
        <f t="shared" si="4"/>
        <v>0</v>
      </c>
      <c r="Z20" s="19">
        <f>IF(P20-SUM(AB$5:AB20)+1&gt;0,IF(Dane_kredytowe!F$9&lt;B20,IF(SUM(AB$5:AB20)-Dane_kredytowe!F$16+1&gt;0,PMT(M20/12,P20+1-SUM(AB$5:AB20),N20),Y20),0),0)</f>
        <v>0</v>
      </c>
      <c r="AA20" s="19">
        <f t="shared" si="34"/>
        <v>0</v>
      </c>
      <c r="AB20" s="20" t="str">
        <f>IF(AND(Dane_kredytowe!F$9&lt;B20,SUM(AB$5:AB19)&lt;P19),1," ")</f>
        <v xml:space="preserve"> </v>
      </c>
      <c r="AD20" s="75">
        <f>IF(OR(B20&lt;Dane_kredytowe!F$15,Dane_kredytowe!F$15=""),-F20+S20,0)</f>
        <v>0</v>
      </c>
      <c r="AE20" s="75">
        <f t="shared" si="5"/>
        <v>0</v>
      </c>
      <c r="AG20" s="22">
        <f>Dane_kredytowe!F$17-SUM(AI$5:AI19)+SUM(W20:W$42)-SUM(X20:X$42)</f>
        <v>95134.46</v>
      </c>
      <c r="AH20" s="22">
        <f t="shared" si="6"/>
        <v>0</v>
      </c>
      <c r="AI20" s="22">
        <f t="shared" si="7"/>
        <v>0</v>
      </c>
      <c r="AJ20" s="22">
        <f t="shared" si="35"/>
        <v>0</v>
      </c>
      <c r="AK20" s="22">
        <f t="shared" si="8"/>
        <v>0</v>
      </c>
      <c r="AL20" s="22">
        <f>Dane_kredytowe!F$8-SUM(AN$5:AN19)+SUM(R19:R$42)-SUM(S20:S$42)</f>
        <v>300000</v>
      </c>
      <c r="AM20" s="22">
        <f t="shared" si="9"/>
        <v>0</v>
      </c>
      <c r="AN20" s="22">
        <f t="shared" si="10"/>
        <v>0</v>
      </c>
      <c r="AO20" s="22">
        <f t="shared" si="36"/>
        <v>0</v>
      </c>
      <c r="AP20" s="22">
        <f t="shared" si="37"/>
        <v>0</v>
      </c>
      <c r="AR20" s="87">
        <f t="shared" si="11"/>
        <v>37712</v>
      </c>
      <c r="AS20" s="23">
        <f>AS$5+SUM(AV$5:AV19)-SUM(X$5:X20)+SUM(W$5:W20)</f>
        <v>139056.27143784185</v>
      </c>
      <c r="AT20" s="22">
        <f t="shared" si="12"/>
        <v>0</v>
      </c>
      <c r="AU20" s="22">
        <f>IF(AB20=1,IF(Q20="tak",AT20,PMT(M20/12,P20+1-SUM(AB$5:AB20),AS20)),0)</f>
        <v>0</v>
      </c>
      <c r="AV20" s="22">
        <f t="shared" si="38"/>
        <v>0</v>
      </c>
      <c r="AW20" s="22">
        <f t="shared" si="13"/>
        <v>0</v>
      </c>
      <c r="AY20" s="23">
        <f>AY$5+SUM(BA$5:BA19)+SUM(W$5:W19)-SUM(X$5:X19)</f>
        <v>139056.27143784185</v>
      </c>
      <c r="AZ20" s="23">
        <f t="shared" si="14"/>
        <v>0</v>
      </c>
      <c r="BA20" s="23">
        <f t="shared" si="15"/>
        <v>0</v>
      </c>
      <c r="BB20" s="23">
        <f t="shared" si="39"/>
        <v>0</v>
      </c>
      <c r="BC20" s="23">
        <f t="shared" si="16"/>
        <v>0</v>
      </c>
      <c r="BE20" s="88">
        <f t="shared" si="17"/>
        <v>5.9700000000000003E-2</v>
      </c>
      <c r="BF20" s="89">
        <f>BE20+Dane_kredytowe!F$12</f>
        <v>8.9700000000000002E-2</v>
      </c>
      <c r="BG20" s="23">
        <f>BG$5+SUM(BH$5:BH19)+SUM(R$5:R19)-SUM(S$5:S19)</f>
        <v>300000</v>
      </c>
      <c r="BH20" s="22">
        <f t="shared" si="40"/>
        <v>0</v>
      </c>
      <c r="BI20" s="22">
        <f t="shared" si="41"/>
        <v>0</v>
      </c>
      <c r="BJ20" s="22">
        <f>IF(U20&lt;0,PMT(BF20/12,Dane_kredytowe!F$13-SUM(AB$5:AB20)+1,BG20),0)</f>
        <v>0</v>
      </c>
      <c r="BL20" s="23">
        <f>BL$5+SUM(BN$5:BN19)+SUM(R$5:R19)-SUM(S$5:S19)</f>
        <v>300000</v>
      </c>
      <c r="BM20" s="23">
        <f t="shared" si="18"/>
        <v>0</v>
      </c>
      <c r="BN20" s="23">
        <f t="shared" si="19"/>
        <v>0</v>
      </c>
      <c r="BO20" s="23">
        <f t="shared" si="20"/>
        <v>0</v>
      </c>
      <c r="BQ20" s="89">
        <f t="shared" si="42"/>
        <v>7.6399999999999996E-2</v>
      </c>
      <c r="BR20" s="23">
        <f>BR$5+SUM(BS$5:BS19)+SUM(R$5:R19)-SUM(S$5:S19)+SUM(BV$5:BV19)</f>
        <v>300000</v>
      </c>
      <c r="BS20" s="22">
        <f t="shared" si="49"/>
        <v>0</v>
      </c>
      <c r="BT20" s="22">
        <f t="shared" si="50"/>
        <v>0</v>
      </c>
      <c r="BU20" s="22">
        <f>IF(U20&lt;0,PMT(BQ20/12,Dane_kredytowe!F$13-SUM(AB$5:AB20)+1,BR20),0)</f>
        <v>0</v>
      </c>
      <c r="BV20" s="22">
        <f t="shared" si="43"/>
        <v>0</v>
      </c>
      <c r="BX20" s="23">
        <f>BX$5+SUM(BZ$5:BZ19)+SUM(R$5:R19)-SUM(S$5:S19)+SUM(CB$5,CB19)</f>
        <v>300000</v>
      </c>
      <c r="BY20" s="22">
        <f t="shared" si="21"/>
        <v>0</v>
      </c>
      <c r="BZ20" s="22">
        <f t="shared" si="22"/>
        <v>0</v>
      </c>
      <c r="CA20" s="22">
        <f t="shared" si="51"/>
        <v>0</v>
      </c>
      <c r="CB20" s="22">
        <f t="shared" si="52"/>
        <v>0</v>
      </c>
      <c r="CD20" s="22">
        <f>CD$5+SUM(CE$5:CE19)+SUM(R$5:R19)-SUM(S$5:S19)-SUM(CF$5:CF19)</f>
        <v>300000</v>
      </c>
      <c r="CE20" s="22">
        <f t="shared" si="44"/>
        <v>0</v>
      </c>
      <c r="CF20" s="22">
        <f t="shared" si="23"/>
        <v>0</v>
      </c>
      <c r="CG20" s="22">
        <f t="shared" si="45"/>
        <v>0</v>
      </c>
      <c r="CI20" s="89">
        <f t="shared" si="24"/>
        <v>0.94269999999999998</v>
      </c>
      <c r="CJ20" s="22">
        <f t="shared" si="25"/>
        <v>0</v>
      </c>
      <c r="CK20" s="15">
        <f t="shared" si="46"/>
        <v>0</v>
      </c>
      <c r="CM20" s="22">
        <f t="shared" si="47"/>
        <v>0</v>
      </c>
      <c r="CN20" s="15">
        <f t="shared" si="53"/>
        <v>0</v>
      </c>
    </row>
    <row r="21" spans="1:92">
      <c r="A21" s="25"/>
      <c r="B21" s="90">
        <v>37742</v>
      </c>
      <c r="C21" s="81">
        <f t="shared" si="0"/>
        <v>2.8555000000000001</v>
      </c>
      <c r="D21" s="82">
        <f t="shared" si="48"/>
        <v>2.9411650000000003</v>
      </c>
      <c r="E21" s="73">
        <f t="shared" si="26"/>
        <v>0</v>
      </c>
      <c r="F21" s="19">
        <f t="shared" si="27"/>
        <v>0</v>
      </c>
      <c r="G21" s="19">
        <f t="shared" si="28"/>
        <v>0</v>
      </c>
      <c r="H21" s="19">
        <f t="shared" si="29"/>
        <v>0</v>
      </c>
      <c r="I21" s="62"/>
      <c r="J21" s="15" t="str">
        <f t="shared" si="30"/>
        <v xml:space="preserve"> </v>
      </c>
      <c r="K21" s="15">
        <f>IF(B21&lt;=Dane_kredytowe!F$9,0,K20+1)</f>
        <v>0</v>
      </c>
      <c r="L21" s="83">
        <f t="shared" si="1"/>
        <v>3.0000000000000001E-3</v>
      </c>
      <c r="M21" s="84">
        <f>L21+Dane_kredytowe!F$12</f>
        <v>3.3000000000000002E-2</v>
      </c>
      <c r="N21" s="79">
        <f>MAX(Dane_kredytowe!F$17+SUM(AA$5:AA20)-SUM(X$5:X21)+SUM(W$5:W21),0)</f>
        <v>95134.46</v>
      </c>
      <c r="O21" s="85">
        <f>MAX(Dane_kredytowe!F$8+SUM(V$5:V20)-SUM(S$5:S21)+SUM(R$5:R20),0)</f>
        <v>300000</v>
      </c>
      <c r="P21" s="67">
        <f t="shared" si="31"/>
        <v>360</v>
      </c>
      <c r="Q21" s="127" t="str">
        <f>IF(AND(K21&gt;0,K21&lt;=Dane_kredytowe!F$16),"tak","nie")</f>
        <v>nie</v>
      </c>
      <c r="R21" s="69"/>
      <c r="S21" s="86">
        <f>IF(Dane_kredytowe!F$19=B21,O20+V20,_xlfn.XLOOKUP(B21,Dane_kredytowe!M$9:M$18,Dane_kredytowe!N$9:N$18,0))</f>
        <v>0</v>
      </c>
      <c r="T21" s="71">
        <f t="shared" si="2"/>
        <v>0</v>
      </c>
      <c r="U21" s="72">
        <f>IF(Q21="tak",T21,IF(P21-SUM(AB$5:AB21)+1&gt;0,IF(Dane_kredytowe!F$9&lt;B21,IF(SUM(AB$5:AB21)-Dane_kredytowe!F$16+1&gt;0,PMT(M21/12,P21+1-SUM(AB$5:AB21),O21),T21),0),0))</f>
        <v>0</v>
      </c>
      <c r="V21" s="72">
        <f t="shared" si="32"/>
        <v>0</v>
      </c>
      <c r="W21" s="19" t="str">
        <f t="shared" si="33"/>
        <v xml:space="preserve"> </v>
      </c>
      <c r="X21" s="19">
        <f t="shared" si="3"/>
        <v>0</v>
      </c>
      <c r="Y21" s="73">
        <f t="shared" si="4"/>
        <v>0</v>
      </c>
      <c r="Z21" s="19">
        <f>IF(P21-SUM(AB$5:AB21)+1&gt;0,IF(Dane_kredytowe!F$9&lt;B21,IF(SUM(AB$5:AB21)-Dane_kredytowe!F$16+1&gt;0,PMT(M21/12,P21+1-SUM(AB$5:AB21),N21),Y21),0),0)</f>
        <v>0</v>
      </c>
      <c r="AA21" s="19">
        <f t="shared" si="34"/>
        <v>0</v>
      </c>
      <c r="AB21" s="20" t="str">
        <f>IF(AND(Dane_kredytowe!F$9&lt;B21,SUM(AB$5:AB20)&lt;P20),1," ")</f>
        <v xml:space="preserve"> </v>
      </c>
      <c r="AD21" s="75">
        <f>IF(OR(B21&lt;Dane_kredytowe!F$15,Dane_kredytowe!F$15=""),-F21+S21,0)</f>
        <v>0</v>
      </c>
      <c r="AE21" s="75">
        <f t="shared" si="5"/>
        <v>0</v>
      </c>
      <c r="AG21" s="22">
        <f>Dane_kredytowe!F$17-SUM(AI$5:AI20)+SUM(W21:W$42)-SUM(X21:X$42)</f>
        <v>95134.46</v>
      </c>
      <c r="AH21" s="22">
        <f t="shared" si="6"/>
        <v>0</v>
      </c>
      <c r="AI21" s="22">
        <f t="shared" si="7"/>
        <v>0</v>
      </c>
      <c r="AJ21" s="22">
        <f t="shared" si="35"/>
        <v>0</v>
      </c>
      <c r="AK21" s="22">
        <f t="shared" si="8"/>
        <v>0</v>
      </c>
      <c r="AL21" s="22">
        <f>Dane_kredytowe!F$8-SUM(AN$5:AN20)+SUM(R20:R$42)-SUM(S21:S$42)</f>
        <v>300000</v>
      </c>
      <c r="AM21" s="22">
        <f t="shared" si="9"/>
        <v>0</v>
      </c>
      <c r="AN21" s="22">
        <f t="shared" si="10"/>
        <v>0</v>
      </c>
      <c r="AO21" s="22">
        <f t="shared" si="36"/>
        <v>0</v>
      </c>
      <c r="AP21" s="22">
        <f t="shared" si="37"/>
        <v>0</v>
      </c>
      <c r="AR21" s="87">
        <f t="shared" si="11"/>
        <v>37742</v>
      </c>
      <c r="AS21" s="23">
        <f>AS$5+SUM(AV$5:AV20)-SUM(X$5:X21)+SUM(W$5:W21)</f>
        <v>139056.27143784185</v>
      </c>
      <c r="AT21" s="22">
        <f t="shared" si="12"/>
        <v>0</v>
      </c>
      <c r="AU21" s="22">
        <f>IF(AB21=1,IF(Q21="tak",AT21,PMT(M21/12,P21+1-SUM(AB$5:AB21),AS21)),0)</f>
        <v>0</v>
      </c>
      <c r="AV21" s="22">
        <f t="shared" si="38"/>
        <v>0</v>
      </c>
      <c r="AW21" s="22">
        <f t="shared" si="13"/>
        <v>0</v>
      </c>
      <c r="AY21" s="23">
        <f>AY$5+SUM(BA$5:BA20)+SUM(W$5:W20)-SUM(X$5:X20)</f>
        <v>139056.27143784185</v>
      </c>
      <c r="AZ21" s="23">
        <f t="shared" si="14"/>
        <v>0</v>
      </c>
      <c r="BA21" s="23">
        <f t="shared" si="15"/>
        <v>0</v>
      </c>
      <c r="BB21" s="23">
        <f t="shared" si="39"/>
        <v>0</v>
      </c>
      <c r="BC21" s="23">
        <f t="shared" si="16"/>
        <v>0</v>
      </c>
      <c r="BE21" s="88">
        <f t="shared" si="17"/>
        <v>5.7000000000000002E-2</v>
      </c>
      <c r="BF21" s="89">
        <f>BE21+Dane_kredytowe!F$12</f>
        <v>8.6999999999999994E-2</v>
      </c>
      <c r="BG21" s="23">
        <f>BG$5+SUM(BH$5:BH20)+SUM(R$5:R20)-SUM(S$5:S20)</f>
        <v>300000</v>
      </c>
      <c r="BH21" s="22">
        <f t="shared" si="40"/>
        <v>0</v>
      </c>
      <c r="BI21" s="22">
        <f t="shared" si="41"/>
        <v>0</v>
      </c>
      <c r="BJ21" s="22">
        <f>IF(U21&lt;0,PMT(BF21/12,Dane_kredytowe!F$13-SUM(AB$5:AB21)+1,BG21),0)</f>
        <v>0</v>
      </c>
      <c r="BL21" s="23">
        <f>BL$5+SUM(BN$5:BN20)+SUM(R$5:R20)-SUM(S$5:S20)</f>
        <v>300000</v>
      </c>
      <c r="BM21" s="23">
        <f t="shared" si="18"/>
        <v>0</v>
      </c>
      <c r="BN21" s="23">
        <f t="shared" si="19"/>
        <v>0</v>
      </c>
      <c r="BO21" s="23">
        <f t="shared" si="20"/>
        <v>0</v>
      </c>
      <c r="BQ21" s="89">
        <f t="shared" si="42"/>
        <v>7.3700000000000002E-2</v>
      </c>
      <c r="BR21" s="23">
        <f>BR$5+SUM(BS$5:BS20)+SUM(R$5:R20)-SUM(S$5:S20)+SUM(BV$5:BV20)</f>
        <v>300000</v>
      </c>
      <c r="BS21" s="22">
        <f t="shared" si="49"/>
        <v>0</v>
      </c>
      <c r="BT21" s="22">
        <f t="shared" si="50"/>
        <v>0</v>
      </c>
      <c r="BU21" s="22">
        <f>IF(U21&lt;0,PMT(BQ21/12,Dane_kredytowe!F$13-SUM(AB$5:AB21)+1,BR21),0)</f>
        <v>0</v>
      </c>
      <c r="BV21" s="22">
        <f t="shared" si="43"/>
        <v>0</v>
      </c>
      <c r="BX21" s="23">
        <f>BX$5+SUM(BZ$5:BZ20)+SUM(R$5:R20)-SUM(S$5:S20)+SUM(CB$5,CB20)</f>
        <v>300000</v>
      </c>
      <c r="BY21" s="22">
        <f t="shared" si="21"/>
        <v>0</v>
      </c>
      <c r="BZ21" s="22">
        <f t="shared" si="22"/>
        <v>0</v>
      </c>
      <c r="CA21" s="22">
        <f t="shared" si="51"/>
        <v>0</v>
      </c>
      <c r="CB21" s="22">
        <f t="shared" si="52"/>
        <v>0</v>
      </c>
      <c r="CD21" s="22">
        <f>CD$5+SUM(CE$5:CE20)+SUM(R$5:R20)-SUM(S$5:S20)-SUM(CF$5:CF20)</f>
        <v>300000</v>
      </c>
      <c r="CE21" s="22">
        <f t="shared" si="44"/>
        <v>0</v>
      </c>
      <c r="CF21" s="22">
        <f t="shared" si="23"/>
        <v>0</v>
      </c>
      <c r="CG21" s="22">
        <f t="shared" si="45"/>
        <v>0</v>
      </c>
      <c r="CI21" s="89">
        <f t="shared" si="24"/>
        <v>0.94269999999999998</v>
      </c>
      <c r="CJ21" s="22">
        <f t="shared" si="25"/>
        <v>0</v>
      </c>
      <c r="CK21" s="15">
        <f t="shared" si="46"/>
        <v>0</v>
      </c>
      <c r="CM21" s="22">
        <f t="shared" si="47"/>
        <v>0</v>
      </c>
      <c r="CN21" s="15">
        <f t="shared" si="53"/>
        <v>0</v>
      </c>
    </row>
    <row r="22" spans="1:92">
      <c r="A22" s="25"/>
      <c r="B22" s="90">
        <v>37773</v>
      </c>
      <c r="C22" s="81">
        <f t="shared" si="0"/>
        <v>2.8788999999999998</v>
      </c>
      <c r="D22" s="82">
        <f t="shared" si="48"/>
        <v>2.9652669999999999</v>
      </c>
      <c r="E22" s="73">
        <f t="shared" si="26"/>
        <v>0</v>
      </c>
      <c r="F22" s="19">
        <f t="shared" si="27"/>
        <v>0</v>
      </c>
      <c r="G22" s="19">
        <f t="shared" si="28"/>
        <v>0</v>
      </c>
      <c r="H22" s="19">
        <f t="shared" si="29"/>
        <v>0</v>
      </c>
      <c r="I22" s="62"/>
      <c r="J22" s="15" t="str">
        <f t="shared" si="30"/>
        <v xml:space="preserve"> </v>
      </c>
      <c r="K22" s="15">
        <f>IF(B22&lt;=Dane_kredytowe!F$9,0,K21+1)</f>
        <v>0</v>
      </c>
      <c r="L22" s="83">
        <f t="shared" si="1"/>
        <v>2.8999999999999998E-3</v>
      </c>
      <c r="M22" s="84">
        <f>L22+Dane_kredytowe!F$12</f>
        <v>3.2899999999999999E-2</v>
      </c>
      <c r="N22" s="79">
        <f>MAX(Dane_kredytowe!F$17+SUM(AA$5:AA21)-SUM(X$5:X22)+SUM(W$5:W22),0)</f>
        <v>95134.46</v>
      </c>
      <c r="O22" s="85">
        <f>MAX(Dane_kredytowe!F$8+SUM(V$5:V21)-SUM(S$5:S22)+SUM(R$5:R21),0)</f>
        <v>300000</v>
      </c>
      <c r="P22" s="67">
        <f t="shared" si="31"/>
        <v>360</v>
      </c>
      <c r="Q22" s="127" t="str">
        <f>IF(AND(K22&gt;0,K22&lt;=Dane_kredytowe!F$16),"tak","nie")</f>
        <v>nie</v>
      </c>
      <c r="R22" s="69"/>
      <c r="S22" s="86">
        <f>IF(Dane_kredytowe!F$19=B22,O21+V21,_xlfn.XLOOKUP(B22,Dane_kredytowe!M$9:M$18,Dane_kredytowe!N$9:N$18,0))</f>
        <v>0</v>
      </c>
      <c r="T22" s="71">
        <f t="shared" si="2"/>
        <v>0</v>
      </c>
      <c r="U22" s="72">
        <f>IF(Q22="tak",T22,IF(P22-SUM(AB$5:AB22)+1&gt;0,IF(Dane_kredytowe!F$9&lt;B22,IF(SUM(AB$5:AB22)-Dane_kredytowe!F$16+1&gt;0,PMT(M22/12,P22+1-SUM(AB$5:AB22),O22),T22),0),0))</f>
        <v>0</v>
      </c>
      <c r="V22" s="72">
        <f t="shared" si="32"/>
        <v>0</v>
      </c>
      <c r="W22" s="19" t="str">
        <f t="shared" si="33"/>
        <v xml:space="preserve"> </v>
      </c>
      <c r="X22" s="19">
        <f t="shared" si="3"/>
        <v>0</v>
      </c>
      <c r="Y22" s="73">
        <f t="shared" si="4"/>
        <v>0</v>
      </c>
      <c r="Z22" s="19">
        <f>IF(P22-SUM(AB$5:AB22)+1&gt;0,IF(Dane_kredytowe!F$9&lt;B22,IF(SUM(AB$5:AB22)-Dane_kredytowe!F$16+1&gt;0,PMT(M22/12,P22+1-SUM(AB$5:AB22),N22),Y22),0),0)</f>
        <v>0</v>
      </c>
      <c r="AA22" s="19">
        <f t="shared" si="34"/>
        <v>0</v>
      </c>
      <c r="AB22" s="20" t="str">
        <f>IF(AND(Dane_kredytowe!F$9&lt;B22,SUM(AB$5:AB21)&lt;P21),1," ")</f>
        <v xml:space="preserve"> </v>
      </c>
      <c r="AD22" s="75">
        <f>IF(OR(B22&lt;Dane_kredytowe!F$15,Dane_kredytowe!F$15=""),-F22+S22,0)</f>
        <v>0</v>
      </c>
      <c r="AE22" s="75">
        <f t="shared" si="5"/>
        <v>0</v>
      </c>
      <c r="AG22" s="22">
        <f>Dane_kredytowe!F$17-SUM(AI$5:AI21)+SUM(W22:W$42)-SUM(X22:X$42)</f>
        <v>95134.46</v>
      </c>
      <c r="AH22" s="22">
        <f t="shared" si="6"/>
        <v>0</v>
      </c>
      <c r="AI22" s="22">
        <f t="shared" si="7"/>
        <v>0</v>
      </c>
      <c r="AJ22" s="22">
        <f t="shared" si="35"/>
        <v>0</v>
      </c>
      <c r="AK22" s="22">
        <f t="shared" si="8"/>
        <v>0</v>
      </c>
      <c r="AL22" s="22">
        <f>Dane_kredytowe!F$8-SUM(AN$5:AN21)+SUM(R21:R$42)-SUM(S22:S$42)</f>
        <v>300000</v>
      </c>
      <c r="AM22" s="22">
        <f t="shared" si="9"/>
        <v>0</v>
      </c>
      <c r="AN22" s="22">
        <f t="shared" si="10"/>
        <v>0</v>
      </c>
      <c r="AO22" s="22">
        <f t="shared" si="36"/>
        <v>0</v>
      </c>
      <c r="AP22" s="22">
        <f t="shared" si="37"/>
        <v>0</v>
      </c>
      <c r="AR22" s="87">
        <f t="shared" si="11"/>
        <v>37773</v>
      </c>
      <c r="AS22" s="23">
        <f>AS$5+SUM(AV$5:AV21)-SUM(X$5:X22)+SUM(W$5:W22)</f>
        <v>139056.27143784185</v>
      </c>
      <c r="AT22" s="22">
        <f t="shared" si="12"/>
        <v>0</v>
      </c>
      <c r="AU22" s="22">
        <f>IF(AB22=1,IF(Q22="tak",AT22,PMT(M22/12,P22+1-SUM(AB$5:AB22),AS22)),0)</f>
        <v>0</v>
      </c>
      <c r="AV22" s="22">
        <f t="shared" si="38"/>
        <v>0</v>
      </c>
      <c r="AW22" s="22">
        <f t="shared" si="13"/>
        <v>0</v>
      </c>
      <c r="AY22" s="23">
        <f>AY$5+SUM(BA$5:BA21)+SUM(W$5:W21)-SUM(X$5:X21)</f>
        <v>139056.27143784185</v>
      </c>
      <c r="AZ22" s="23">
        <f t="shared" si="14"/>
        <v>0</v>
      </c>
      <c r="BA22" s="23">
        <f t="shared" si="15"/>
        <v>0</v>
      </c>
      <c r="BB22" s="23">
        <f t="shared" si="39"/>
        <v>0</v>
      </c>
      <c r="BC22" s="23">
        <f t="shared" si="16"/>
        <v>0</v>
      </c>
      <c r="BE22" s="88">
        <f t="shared" si="17"/>
        <v>5.3999999999999999E-2</v>
      </c>
      <c r="BF22" s="89">
        <f>BE22+Dane_kredytowe!F$12</f>
        <v>8.3999999999999991E-2</v>
      </c>
      <c r="BG22" s="23">
        <f>BG$5+SUM(BH$5:BH21)+SUM(R$5:R21)-SUM(S$5:S21)</f>
        <v>300000</v>
      </c>
      <c r="BH22" s="22">
        <f t="shared" si="40"/>
        <v>0</v>
      </c>
      <c r="BI22" s="22">
        <f t="shared" si="41"/>
        <v>0</v>
      </c>
      <c r="BJ22" s="22">
        <f>IF(U22&lt;0,PMT(BF22/12,Dane_kredytowe!F$13-SUM(AB$5:AB22)+1,BG22),0)</f>
        <v>0</v>
      </c>
      <c r="BL22" s="23">
        <f>BL$5+SUM(BN$5:BN21)+SUM(R$5:R21)-SUM(S$5:S21)</f>
        <v>300000</v>
      </c>
      <c r="BM22" s="23">
        <f t="shared" si="18"/>
        <v>0</v>
      </c>
      <c r="BN22" s="23">
        <f t="shared" si="19"/>
        <v>0</v>
      </c>
      <c r="BO22" s="23">
        <f t="shared" si="20"/>
        <v>0</v>
      </c>
      <c r="BQ22" s="89">
        <f t="shared" si="42"/>
        <v>7.0699999999999999E-2</v>
      </c>
      <c r="BR22" s="23">
        <f>BR$5+SUM(BS$5:BS21)+SUM(R$5:R21)-SUM(S$5:S21)+SUM(BV$5:BV21)</f>
        <v>300000</v>
      </c>
      <c r="BS22" s="22">
        <f t="shared" si="49"/>
        <v>0</v>
      </c>
      <c r="BT22" s="22">
        <f t="shared" si="50"/>
        <v>0</v>
      </c>
      <c r="BU22" s="22">
        <f>IF(U22&lt;0,PMT(BQ22/12,Dane_kredytowe!F$13-SUM(AB$5:AB22)+1,BR22),0)</f>
        <v>0</v>
      </c>
      <c r="BV22" s="22">
        <f t="shared" si="43"/>
        <v>0</v>
      </c>
      <c r="BX22" s="23">
        <f>BX$5+SUM(BZ$5:BZ21)+SUM(R$5:R21)-SUM(S$5:S21)+SUM(CB$5,CB21)</f>
        <v>300000</v>
      </c>
      <c r="BY22" s="22">
        <f t="shared" si="21"/>
        <v>0</v>
      </c>
      <c r="BZ22" s="22">
        <f t="shared" si="22"/>
        <v>0</v>
      </c>
      <c r="CA22" s="22">
        <f t="shared" si="51"/>
        <v>0</v>
      </c>
      <c r="CB22" s="22">
        <f t="shared" si="52"/>
        <v>0</v>
      </c>
      <c r="CD22" s="22">
        <f>CD$5+SUM(CE$5:CE21)+SUM(R$5:R21)-SUM(S$5:S21)-SUM(CF$5:CF21)</f>
        <v>300000</v>
      </c>
      <c r="CE22" s="22">
        <f t="shared" si="44"/>
        <v>0</v>
      </c>
      <c r="CF22" s="22">
        <f t="shared" si="23"/>
        <v>0</v>
      </c>
      <c r="CG22" s="22">
        <f t="shared" si="45"/>
        <v>0</v>
      </c>
      <c r="CI22" s="89">
        <f t="shared" si="24"/>
        <v>0.9446</v>
      </c>
      <c r="CJ22" s="22">
        <f t="shared" si="25"/>
        <v>0</v>
      </c>
      <c r="CK22" s="15">
        <f t="shared" si="46"/>
        <v>0</v>
      </c>
      <c r="CM22" s="22">
        <f t="shared" si="47"/>
        <v>0</v>
      </c>
      <c r="CN22" s="15">
        <f t="shared" si="53"/>
        <v>0</v>
      </c>
    </row>
    <row r="23" spans="1:92">
      <c r="A23" s="25"/>
      <c r="B23" s="90">
        <v>37803</v>
      </c>
      <c r="C23" s="81">
        <f t="shared" si="0"/>
        <v>2.8721999999999999</v>
      </c>
      <c r="D23" s="82">
        <f t="shared" si="48"/>
        <v>2.9583659999999998</v>
      </c>
      <c r="E23" s="73">
        <f t="shared" si="26"/>
        <v>0</v>
      </c>
      <c r="F23" s="19">
        <f t="shared" si="27"/>
        <v>0</v>
      </c>
      <c r="G23" s="19">
        <f t="shared" si="28"/>
        <v>0</v>
      </c>
      <c r="H23" s="19">
        <f t="shared" si="29"/>
        <v>0</v>
      </c>
      <c r="I23" s="62"/>
      <c r="J23" s="15" t="str">
        <f t="shared" si="30"/>
        <v xml:space="preserve"> </v>
      </c>
      <c r="K23" s="15">
        <f>IF(B23&lt;=Dane_kredytowe!F$9,0,K22+1)</f>
        <v>0</v>
      </c>
      <c r="L23" s="83">
        <f t="shared" si="1"/>
        <v>2.8E-3</v>
      </c>
      <c r="M23" s="84">
        <f>L23+Dane_kredytowe!F$12</f>
        <v>3.2799999999999996E-2</v>
      </c>
      <c r="N23" s="79">
        <f>MAX(Dane_kredytowe!F$17+SUM(AA$5:AA22)-SUM(X$5:X23)+SUM(W$5:W23),0)</f>
        <v>95134.46</v>
      </c>
      <c r="O23" s="85">
        <f>MAX(Dane_kredytowe!F$8+SUM(V$5:V22)-SUM(S$5:S23)+SUM(R$5:R22),0)</f>
        <v>300000</v>
      </c>
      <c r="P23" s="67">
        <f t="shared" si="31"/>
        <v>360</v>
      </c>
      <c r="Q23" s="127" t="str">
        <f>IF(AND(K23&gt;0,K23&lt;=Dane_kredytowe!F$16),"tak","nie")</f>
        <v>nie</v>
      </c>
      <c r="R23" s="69"/>
      <c r="S23" s="86">
        <f>IF(Dane_kredytowe!F$19=B23,O22+V22,_xlfn.XLOOKUP(B23,Dane_kredytowe!M$9:M$18,Dane_kredytowe!N$9:N$18,0))</f>
        <v>0</v>
      </c>
      <c r="T23" s="71">
        <f t="shared" si="2"/>
        <v>0</v>
      </c>
      <c r="U23" s="72">
        <f>IF(Q23="tak",T23,IF(P23-SUM(AB$5:AB23)+1&gt;0,IF(Dane_kredytowe!F$9&lt;B23,IF(SUM(AB$5:AB23)-Dane_kredytowe!F$16+1&gt;0,PMT(M23/12,P23+1-SUM(AB$5:AB23),O23),T23),0),0))</f>
        <v>0</v>
      </c>
      <c r="V23" s="72">
        <f t="shared" si="32"/>
        <v>0</v>
      </c>
      <c r="W23" s="19" t="str">
        <f t="shared" si="33"/>
        <v xml:space="preserve"> </v>
      </c>
      <c r="X23" s="19">
        <f t="shared" si="3"/>
        <v>0</v>
      </c>
      <c r="Y23" s="73">
        <f t="shared" si="4"/>
        <v>0</v>
      </c>
      <c r="Z23" s="19">
        <f>IF(P23-SUM(AB$5:AB23)+1&gt;0,IF(Dane_kredytowe!F$9&lt;B23,IF(SUM(AB$5:AB23)-Dane_kredytowe!F$16+1&gt;0,PMT(M23/12,P23+1-SUM(AB$5:AB23),N23),Y23),0),0)</f>
        <v>0</v>
      </c>
      <c r="AA23" s="19">
        <f t="shared" si="34"/>
        <v>0</v>
      </c>
      <c r="AB23" s="20" t="str">
        <f>IF(AND(Dane_kredytowe!F$9&lt;B23,SUM(AB$5:AB22)&lt;P22),1," ")</f>
        <v xml:space="preserve"> </v>
      </c>
      <c r="AD23" s="75">
        <f>IF(OR(B23&lt;Dane_kredytowe!F$15,Dane_kredytowe!F$15=""),-F23+S23,0)</f>
        <v>0</v>
      </c>
      <c r="AE23" s="75">
        <f t="shared" si="5"/>
        <v>0</v>
      </c>
      <c r="AG23" s="22">
        <f>Dane_kredytowe!F$17-SUM(AI$5:AI22)+SUM(W23:W$42)-SUM(X23:X$42)</f>
        <v>95134.46</v>
      </c>
      <c r="AH23" s="22">
        <f t="shared" si="6"/>
        <v>0</v>
      </c>
      <c r="AI23" s="22">
        <f t="shared" si="7"/>
        <v>0</v>
      </c>
      <c r="AJ23" s="22">
        <f t="shared" si="35"/>
        <v>0</v>
      </c>
      <c r="AK23" s="22">
        <f t="shared" si="8"/>
        <v>0</v>
      </c>
      <c r="AL23" s="22">
        <f>Dane_kredytowe!F$8-SUM(AN$5:AN22)+SUM(R22:R$42)-SUM(S23:S$42)</f>
        <v>300000</v>
      </c>
      <c r="AM23" s="22">
        <f t="shared" si="9"/>
        <v>0</v>
      </c>
      <c r="AN23" s="22">
        <f t="shared" si="10"/>
        <v>0</v>
      </c>
      <c r="AO23" s="22">
        <f t="shared" si="36"/>
        <v>0</v>
      </c>
      <c r="AP23" s="22">
        <f t="shared" si="37"/>
        <v>0</v>
      </c>
      <c r="AR23" s="87">
        <f t="shared" si="11"/>
        <v>37803</v>
      </c>
      <c r="AS23" s="23">
        <f>AS$5+SUM(AV$5:AV22)-SUM(X$5:X23)+SUM(W$5:W23)</f>
        <v>139056.27143784185</v>
      </c>
      <c r="AT23" s="22">
        <f t="shared" si="12"/>
        <v>0</v>
      </c>
      <c r="AU23" s="22">
        <f>IF(AB23=1,IF(Q23="tak",AT23,PMT(M23/12,P23+1-SUM(AB$5:AB23),AS23)),0)</f>
        <v>0</v>
      </c>
      <c r="AV23" s="22">
        <f t="shared" si="38"/>
        <v>0</v>
      </c>
      <c r="AW23" s="22">
        <f t="shared" si="13"/>
        <v>0</v>
      </c>
      <c r="AY23" s="23">
        <f>AY$5+SUM(BA$5:BA22)+SUM(W$5:W22)-SUM(X$5:X22)</f>
        <v>139056.27143784185</v>
      </c>
      <c r="AZ23" s="23">
        <f t="shared" si="14"/>
        <v>0</v>
      </c>
      <c r="BA23" s="23">
        <f t="shared" si="15"/>
        <v>0</v>
      </c>
      <c r="BB23" s="23">
        <f t="shared" si="39"/>
        <v>0</v>
      </c>
      <c r="BC23" s="23">
        <f t="shared" si="16"/>
        <v>0</v>
      </c>
      <c r="BE23" s="88">
        <f t="shared" si="17"/>
        <v>5.2900000000000003E-2</v>
      </c>
      <c r="BF23" s="89">
        <f>BE23+Dane_kredytowe!F$12</f>
        <v>8.2900000000000001E-2</v>
      </c>
      <c r="BG23" s="23">
        <f>BG$5+SUM(BH$5:BH22)+SUM(R$5:R22)-SUM(S$5:S22)</f>
        <v>300000</v>
      </c>
      <c r="BH23" s="22">
        <f t="shared" si="40"/>
        <v>0</v>
      </c>
      <c r="BI23" s="22">
        <f t="shared" si="41"/>
        <v>0</v>
      </c>
      <c r="BJ23" s="22">
        <f>IF(U23&lt;0,PMT(BF23/12,Dane_kredytowe!F$13-SUM(AB$5:AB23)+1,BG23),0)</f>
        <v>0</v>
      </c>
      <c r="BL23" s="23">
        <f>BL$5+SUM(BN$5:BN22)+SUM(R$5:R22)-SUM(S$5:S22)</f>
        <v>300000</v>
      </c>
      <c r="BM23" s="23">
        <f t="shared" si="18"/>
        <v>0</v>
      </c>
      <c r="BN23" s="23">
        <f t="shared" si="19"/>
        <v>0</v>
      </c>
      <c r="BO23" s="23">
        <f t="shared" si="20"/>
        <v>0</v>
      </c>
      <c r="BQ23" s="89">
        <f t="shared" si="42"/>
        <v>6.9599999999999995E-2</v>
      </c>
      <c r="BR23" s="23">
        <f>BR$5+SUM(BS$5:BS22)+SUM(R$5:R22)-SUM(S$5:S22)+SUM(BV$5:BV22)</f>
        <v>300000</v>
      </c>
      <c r="BS23" s="22">
        <f t="shared" si="49"/>
        <v>0</v>
      </c>
      <c r="BT23" s="22">
        <f t="shared" si="50"/>
        <v>0</v>
      </c>
      <c r="BU23" s="22">
        <f>IF(U23&lt;0,PMT(BQ23/12,Dane_kredytowe!F$13-SUM(AB$5:AB23)+1,BR23),0)</f>
        <v>0</v>
      </c>
      <c r="BV23" s="22">
        <f t="shared" si="43"/>
        <v>0</v>
      </c>
      <c r="BX23" s="23">
        <f>BX$5+SUM(BZ$5:BZ22)+SUM(R$5:R22)-SUM(S$5:S22)+SUM(CB$5,CB22)</f>
        <v>300000</v>
      </c>
      <c r="BY23" s="22">
        <f t="shared" si="21"/>
        <v>0</v>
      </c>
      <c r="BZ23" s="22">
        <f t="shared" si="22"/>
        <v>0</v>
      </c>
      <c r="CA23" s="22">
        <f t="shared" si="51"/>
        <v>0</v>
      </c>
      <c r="CB23" s="22">
        <f t="shared" si="52"/>
        <v>0</v>
      </c>
      <c r="CD23" s="22">
        <f>CD$5+SUM(CE$5:CE22)+SUM(R$5:R22)-SUM(S$5:S22)-SUM(CF$5:CF22)</f>
        <v>300000</v>
      </c>
      <c r="CE23" s="22">
        <f t="shared" si="44"/>
        <v>0</v>
      </c>
      <c r="CF23" s="22">
        <f t="shared" si="23"/>
        <v>0</v>
      </c>
      <c r="CG23" s="22">
        <f t="shared" si="45"/>
        <v>0</v>
      </c>
      <c r="CI23" s="89">
        <f t="shared" si="24"/>
        <v>0.95250000000000001</v>
      </c>
      <c r="CJ23" s="22">
        <f t="shared" si="25"/>
        <v>0</v>
      </c>
      <c r="CK23" s="15">
        <f t="shared" si="46"/>
        <v>0</v>
      </c>
      <c r="CM23" s="22">
        <f t="shared" si="47"/>
        <v>0</v>
      </c>
      <c r="CN23" s="15">
        <f t="shared" si="53"/>
        <v>0</v>
      </c>
    </row>
    <row r="24" spans="1:92">
      <c r="A24" s="25"/>
      <c r="B24" s="90">
        <v>37834</v>
      </c>
      <c r="C24" s="81">
        <f t="shared" si="0"/>
        <v>2.8344999999999998</v>
      </c>
      <c r="D24" s="82">
        <f t="shared" si="48"/>
        <v>2.9195349999999998</v>
      </c>
      <c r="E24" s="73">
        <f t="shared" si="26"/>
        <v>0</v>
      </c>
      <c r="F24" s="19">
        <f t="shared" si="27"/>
        <v>0</v>
      </c>
      <c r="G24" s="19">
        <f t="shared" si="28"/>
        <v>0</v>
      </c>
      <c r="H24" s="19">
        <f t="shared" si="29"/>
        <v>0</v>
      </c>
      <c r="I24" s="62"/>
      <c r="J24" s="15" t="str">
        <f t="shared" si="30"/>
        <v xml:space="preserve"> </v>
      </c>
      <c r="K24" s="15">
        <f>IF(B24&lt;=Dane_kredytowe!F$9,0,K23+1)</f>
        <v>0</v>
      </c>
      <c r="L24" s="83">
        <f t="shared" si="1"/>
        <v>2.9329999999999998E-3</v>
      </c>
      <c r="M24" s="84">
        <f>L24+Dane_kredytowe!F$12</f>
        <v>3.2932999999999997E-2</v>
      </c>
      <c r="N24" s="79">
        <f>MAX(Dane_kredytowe!F$17+SUM(AA$5:AA23)-SUM(X$5:X24)+SUM(W$5:W24),0)</f>
        <v>95134.46</v>
      </c>
      <c r="O24" s="85">
        <f>MAX(Dane_kredytowe!F$8+SUM(V$5:V23)-SUM(S$5:S24)+SUM(R$5:R23),0)</f>
        <v>300000</v>
      </c>
      <c r="P24" s="67">
        <f t="shared" si="31"/>
        <v>360</v>
      </c>
      <c r="Q24" s="127" t="str">
        <f>IF(AND(K24&gt;0,K24&lt;=Dane_kredytowe!F$16),"tak","nie")</f>
        <v>nie</v>
      </c>
      <c r="R24" s="69"/>
      <c r="S24" s="86">
        <f>IF(Dane_kredytowe!F$19=B24,O23+V23,_xlfn.XLOOKUP(B24,Dane_kredytowe!M$9:M$18,Dane_kredytowe!N$9:N$18,0))</f>
        <v>0</v>
      </c>
      <c r="T24" s="71">
        <f t="shared" si="2"/>
        <v>0</v>
      </c>
      <c r="U24" s="72">
        <f>IF(Q24="tak",T24,IF(P24-SUM(AB$5:AB24)+1&gt;0,IF(Dane_kredytowe!F$9&lt;B24,IF(SUM(AB$5:AB24)-Dane_kredytowe!F$16+1&gt;0,PMT(M24/12,P24+1-SUM(AB$5:AB24),O24),T24),0),0))</f>
        <v>0</v>
      </c>
      <c r="V24" s="72">
        <f t="shared" si="32"/>
        <v>0</v>
      </c>
      <c r="W24" s="19" t="str">
        <f t="shared" si="33"/>
        <v xml:space="preserve"> </v>
      </c>
      <c r="X24" s="19">
        <f t="shared" si="3"/>
        <v>0</v>
      </c>
      <c r="Y24" s="73">
        <f t="shared" si="4"/>
        <v>0</v>
      </c>
      <c r="Z24" s="19">
        <f>IF(P24-SUM(AB$5:AB24)+1&gt;0,IF(Dane_kredytowe!F$9&lt;B24,IF(SUM(AB$5:AB24)-Dane_kredytowe!F$16+1&gt;0,PMT(M24/12,P24+1-SUM(AB$5:AB24),N24),Y24),0),0)</f>
        <v>0</v>
      </c>
      <c r="AA24" s="19">
        <f t="shared" si="34"/>
        <v>0</v>
      </c>
      <c r="AB24" s="20" t="str">
        <f>IF(AND(Dane_kredytowe!F$9&lt;B24,SUM(AB$5:AB23)&lt;P23),1," ")</f>
        <v xml:space="preserve"> </v>
      </c>
      <c r="AD24" s="75">
        <f>IF(OR(B24&lt;Dane_kredytowe!F$15,Dane_kredytowe!F$15=""),-F24+S24,0)</f>
        <v>0</v>
      </c>
      <c r="AE24" s="75">
        <f t="shared" si="5"/>
        <v>0</v>
      </c>
      <c r="AG24" s="22">
        <f>Dane_kredytowe!F$17-SUM(AI$5:AI23)+SUM(W24:W$42)-SUM(X24:X$42)</f>
        <v>95134.46</v>
      </c>
      <c r="AH24" s="22">
        <f t="shared" si="6"/>
        <v>0</v>
      </c>
      <c r="AI24" s="22">
        <f t="shared" si="7"/>
        <v>0</v>
      </c>
      <c r="AJ24" s="22">
        <f t="shared" si="35"/>
        <v>0</v>
      </c>
      <c r="AK24" s="22">
        <f t="shared" si="8"/>
        <v>0</v>
      </c>
      <c r="AL24" s="22">
        <f>Dane_kredytowe!F$8-SUM(AN$5:AN23)+SUM(R23:R$42)-SUM(S24:S$42)</f>
        <v>300000</v>
      </c>
      <c r="AM24" s="22">
        <f t="shared" si="9"/>
        <v>0</v>
      </c>
      <c r="AN24" s="22">
        <f t="shared" si="10"/>
        <v>0</v>
      </c>
      <c r="AO24" s="22">
        <f t="shared" si="36"/>
        <v>0</v>
      </c>
      <c r="AP24" s="22">
        <f t="shared" si="37"/>
        <v>0</v>
      </c>
      <c r="AR24" s="87">
        <f t="shared" si="11"/>
        <v>37834</v>
      </c>
      <c r="AS24" s="23">
        <f>AS$5+SUM(AV$5:AV23)-SUM(X$5:X24)+SUM(W$5:W24)</f>
        <v>139056.27143784185</v>
      </c>
      <c r="AT24" s="22">
        <f t="shared" si="12"/>
        <v>0</v>
      </c>
      <c r="AU24" s="22">
        <f>IF(AB24=1,IF(Q24="tak",AT24,PMT(M24/12,P24+1-SUM(AB$5:AB24),AS24)),0)</f>
        <v>0</v>
      </c>
      <c r="AV24" s="22">
        <f t="shared" si="38"/>
        <v>0</v>
      </c>
      <c r="AW24" s="22">
        <f t="shared" si="13"/>
        <v>0</v>
      </c>
      <c r="AY24" s="23">
        <f>AY$5+SUM(BA$5:BA23)+SUM(W$5:W23)-SUM(X$5:X23)</f>
        <v>139056.27143784185</v>
      </c>
      <c r="AZ24" s="23">
        <f t="shared" si="14"/>
        <v>0</v>
      </c>
      <c r="BA24" s="23">
        <f t="shared" si="15"/>
        <v>0</v>
      </c>
      <c r="BB24" s="23">
        <f t="shared" si="39"/>
        <v>0</v>
      </c>
      <c r="BC24" s="23">
        <f t="shared" si="16"/>
        <v>0</v>
      </c>
      <c r="BE24" s="88">
        <f t="shared" si="17"/>
        <v>5.2299999999999999E-2</v>
      </c>
      <c r="BF24" s="89">
        <f>BE24+Dane_kredytowe!F$12</f>
        <v>8.2299999999999998E-2</v>
      </c>
      <c r="BG24" s="23">
        <f>BG$5+SUM(BH$5:BH23)+SUM(R$5:R23)-SUM(S$5:S23)</f>
        <v>300000</v>
      </c>
      <c r="BH24" s="22">
        <f t="shared" si="40"/>
        <v>0</v>
      </c>
      <c r="BI24" s="22">
        <f t="shared" si="41"/>
        <v>0</v>
      </c>
      <c r="BJ24" s="22">
        <f>IF(U24&lt;0,PMT(BF24/12,Dane_kredytowe!F$13-SUM(AB$5:AB24)+1,BG24),0)</f>
        <v>0</v>
      </c>
      <c r="BL24" s="23">
        <f>BL$5+SUM(BN$5:BN23)+SUM(R$5:R23)-SUM(S$5:S23)</f>
        <v>300000</v>
      </c>
      <c r="BM24" s="23">
        <f t="shared" si="18"/>
        <v>0</v>
      </c>
      <c r="BN24" s="23">
        <f t="shared" si="19"/>
        <v>0</v>
      </c>
      <c r="BO24" s="23">
        <f t="shared" si="20"/>
        <v>0</v>
      </c>
      <c r="BQ24" s="89">
        <f t="shared" si="42"/>
        <v>6.9000000000000006E-2</v>
      </c>
      <c r="BR24" s="23">
        <f>BR$5+SUM(BS$5:BS23)+SUM(R$5:R23)-SUM(S$5:S23)+SUM(BV$5:BV23)</f>
        <v>300000</v>
      </c>
      <c r="BS24" s="22">
        <f t="shared" si="49"/>
        <v>0</v>
      </c>
      <c r="BT24" s="22">
        <f t="shared" si="50"/>
        <v>0</v>
      </c>
      <c r="BU24" s="22">
        <f>IF(U24&lt;0,PMT(BQ24/12,Dane_kredytowe!F$13-SUM(AB$5:AB24)+1,BR24),0)</f>
        <v>0</v>
      </c>
      <c r="BV24" s="22">
        <f t="shared" si="43"/>
        <v>0</v>
      </c>
      <c r="BX24" s="23">
        <f>BX$5+SUM(BZ$5:BZ23)+SUM(R$5:R23)-SUM(S$5:S23)+SUM(CB$5,CB23)</f>
        <v>300000</v>
      </c>
      <c r="BY24" s="22">
        <f t="shared" si="21"/>
        <v>0</v>
      </c>
      <c r="BZ24" s="22">
        <f t="shared" si="22"/>
        <v>0</v>
      </c>
      <c r="CA24" s="22">
        <f t="shared" si="51"/>
        <v>0</v>
      </c>
      <c r="CB24" s="22">
        <f t="shared" si="52"/>
        <v>0</v>
      </c>
      <c r="CD24" s="22">
        <f>CD$5+SUM(CE$5:CE23)+SUM(R$5:R23)-SUM(S$5:S23)-SUM(CF$5:CF23)</f>
        <v>300000</v>
      </c>
      <c r="CE24" s="22">
        <f t="shared" si="44"/>
        <v>0</v>
      </c>
      <c r="CF24" s="22">
        <f t="shared" si="23"/>
        <v>0</v>
      </c>
      <c r="CG24" s="22">
        <f t="shared" si="45"/>
        <v>0</v>
      </c>
      <c r="CI24" s="89">
        <f t="shared" si="24"/>
        <v>0.96030000000000004</v>
      </c>
      <c r="CJ24" s="22">
        <f t="shared" si="25"/>
        <v>0</v>
      </c>
      <c r="CK24" s="15">
        <f t="shared" si="46"/>
        <v>0</v>
      </c>
      <c r="CM24" s="22">
        <f t="shared" si="47"/>
        <v>0</v>
      </c>
      <c r="CN24" s="15">
        <f t="shared" si="53"/>
        <v>0</v>
      </c>
    </row>
    <row r="25" spans="1:92">
      <c r="A25" s="25"/>
      <c r="B25" s="90">
        <v>37865</v>
      </c>
      <c r="C25" s="81">
        <f t="shared" si="0"/>
        <v>2.8862999999999999</v>
      </c>
      <c r="D25" s="82">
        <f t="shared" si="48"/>
        <v>2.9728889999999999</v>
      </c>
      <c r="E25" s="73">
        <f t="shared" si="26"/>
        <v>0</v>
      </c>
      <c r="F25" s="19">
        <f t="shared" si="27"/>
        <v>0</v>
      </c>
      <c r="G25" s="19">
        <f t="shared" si="28"/>
        <v>0</v>
      </c>
      <c r="H25" s="19">
        <f t="shared" si="29"/>
        <v>0</v>
      </c>
      <c r="I25" s="62"/>
      <c r="J25" s="15" t="str">
        <f t="shared" si="30"/>
        <v xml:space="preserve"> </v>
      </c>
      <c r="K25" s="15">
        <f>IF(B25&lt;=Dane_kredytowe!F$9,0,K24+1)</f>
        <v>0</v>
      </c>
      <c r="L25" s="83">
        <f t="shared" si="1"/>
        <v>2.6670000000000001E-3</v>
      </c>
      <c r="M25" s="84">
        <f>L25+Dane_kredytowe!F$12</f>
        <v>3.2667000000000002E-2</v>
      </c>
      <c r="N25" s="79">
        <f>MAX(Dane_kredytowe!F$17+SUM(AA$5:AA24)-SUM(X$5:X25)+SUM(W$5:W25),0)</f>
        <v>95134.46</v>
      </c>
      <c r="O25" s="85">
        <f>MAX(Dane_kredytowe!F$8+SUM(V$5:V24)-SUM(S$5:S25)+SUM(R$5:R24),0)</f>
        <v>300000</v>
      </c>
      <c r="P25" s="67">
        <f t="shared" si="31"/>
        <v>360</v>
      </c>
      <c r="Q25" s="127" t="str">
        <f>IF(AND(K25&gt;0,K25&lt;=Dane_kredytowe!F$16),"tak","nie")</f>
        <v>nie</v>
      </c>
      <c r="R25" s="69"/>
      <c r="S25" s="86">
        <f>IF(Dane_kredytowe!F$19=B25,O24+V24,_xlfn.XLOOKUP(B25,Dane_kredytowe!M$9:M$18,Dane_kredytowe!N$9:N$18,0))</f>
        <v>0</v>
      </c>
      <c r="T25" s="71">
        <f t="shared" si="2"/>
        <v>0</v>
      </c>
      <c r="U25" s="72">
        <f>IF(Q25="tak",T25,IF(P25-SUM(AB$5:AB25)+1&gt;0,IF(Dane_kredytowe!F$9&lt;B25,IF(SUM(AB$5:AB25)-Dane_kredytowe!F$16+1&gt;0,PMT(M25/12,P25+1-SUM(AB$5:AB25),O25),T25),0),0))</f>
        <v>0</v>
      </c>
      <c r="V25" s="72">
        <f t="shared" si="32"/>
        <v>0</v>
      </c>
      <c r="W25" s="19" t="str">
        <f t="shared" si="33"/>
        <v xml:space="preserve"> </v>
      </c>
      <c r="X25" s="19">
        <f t="shared" si="3"/>
        <v>0</v>
      </c>
      <c r="Y25" s="73">
        <f t="shared" si="4"/>
        <v>0</v>
      </c>
      <c r="Z25" s="19">
        <f>IF(P25-SUM(AB$5:AB25)+1&gt;0,IF(Dane_kredytowe!F$9&lt;B25,IF(SUM(AB$5:AB25)-Dane_kredytowe!F$16+1&gt;0,PMT(M25/12,P25+1-SUM(AB$5:AB25),N25),Y25),0),0)</f>
        <v>0</v>
      </c>
      <c r="AA25" s="19">
        <f t="shared" si="34"/>
        <v>0</v>
      </c>
      <c r="AB25" s="20" t="str">
        <f>IF(AND(Dane_kredytowe!F$9&lt;B25,SUM(AB$5:AB24)&lt;P24),1," ")</f>
        <v xml:space="preserve"> </v>
      </c>
      <c r="AD25" s="75">
        <f>IF(OR(B25&lt;Dane_kredytowe!F$15,Dane_kredytowe!F$15=""),-F25+S25,0)</f>
        <v>0</v>
      </c>
      <c r="AE25" s="75">
        <f t="shared" si="5"/>
        <v>0</v>
      </c>
      <c r="AG25" s="22">
        <f>Dane_kredytowe!F$17-SUM(AI$5:AI24)+SUM(W25:W$42)-SUM(X25:X$42)</f>
        <v>95134.46</v>
      </c>
      <c r="AH25" s="22">
        <f t="shared" si="6"/>
        <v>0</v>
      </c>
      <c r="AI25" s="22">
        <f t="shared" si="7"/>
        <v>0</v>
      </c>
      <c r="AJ25" s="22">
        <f t="shared" si="35"/>
        <v>0</v>
      </c>
      <c r="AK25" s="22">
        <f t="shared" si="8"/>
        <v>0</v>
      </c>
      <c r="AL25" s="22">
        <f>Dane_kredytowe!F$8-SUM(AN$5:AN24)+SUM(R24:R$42)-SUM(S25:S$42)</f>
        <v>300000</v>
      </c>
      <c r="AM25" s="22">
        <f t="shared" si="9"/>
        <v>0</v>
      </c>
      <c r="AN25" s="22">
        <f t="shared" si="10"/>
        <v>0</v>
      </c>
      <c r="AO25" s="22">
        <f t="shared" si="36"/>
        <v>0</v>
      </c>
      <c r="AP25" s="22">
        <f t="shared" si="37"/>
        <v>0</v>
      </c>
      <c r="AR25" s="87">
        <f t="shared" si="11"/>
        <v>37865</v>
      </c>
      <c r="AS25" s="23">
        <f>AS$5+SUM(AV$5:AV24)-SUM(X$5:X25)+SUM(W$5:W25)</f>
        <v>139056.27143784185</v>
      </c>
      <c r="AT25" s="22">
        <f t="shared" si="12"/>
        <v>0</v>
      </c>
      <c r="AU25" s="22">
        <f>IF(AB25=1,IF(Q25="tak",AT25,PMT(M25/12,P25+1-SUM(AB$5:AB25),AS25)),0)</f>
        <v>0</v>
      </c>
      <c r="AV25" s="22">
        <f t="shared" si="38"/>
        <v>0</v>
      </c>
      <c r="AW25" s="22">
        <f t="shared" si="13"/>
        <v>0</v>
      </c>
      <c r="AY25" s="23">
        <f>AY$5+SUM(BA$5:BA24)+SUM(W$5:W24)-SUM(X$5:X24)</f>
        <v>139056.27143784185</v>
      </c>
      <c r="AZ25" s="23">
        <f t="shared" si="14"/>
        <v>0</v>
      </c>
      <c r="BA25" s="23">
        <f t="shared" si="15"/>
        <v>0</v>
      </c>
      <c r="BB25" s="23">
        <f t="shared" si="39"/>
        <v>0</v>
      </c>
      <c r="BC25" s="23">
        <f t="shared" si="16"/>
        <v>0</v>
      </c>
      <c r="BE25" s="88">
        <f t="shared" si="17"/>
        <v>5.1499999999999997E-2</v>
      </c>
      <c r="BF25" s="89">
        <f>BE25+Dane_kredytowe!F$12</f>
        <v>8.1499999999999989E-2</v>
      </c>
      <c r="BG25" s="23">
        <f>BG$5+SUM(BH$5:BH24)+SUM(R$5:R24)-SUM(S$5:S24)</f>
        <v>300000</v>
      </c>
      <c r="BH25" s="22">
        <f t="shared" si="40"/>
        <v>0</v>
      </c>
      <c r="BI25" s="22">
        <f t="shared" si="41"/>
        <v>0</v>
      </c>
      <c r="BJ25" s="22">
        <f>IF(U25&lt;0,PMT(BF25/12,Dane_kredytowe!F$13-SUM(AB$5:AB25)+1,BG25),0)</f>
        <v>0</v>
      </c>
      <c r="BL25" s="23">
        <f>BL$5+SUM(BN$5:BN24)+SUM(R$5:R24)-SUM(S$5:S24)</f>
        <v>300000</v>
      </c>
      <c r="BM25" s="23">
        <f t="shared" si="18"/>
        <v>0</v>
      </c>
      <c r="BN25" s="23">
        <f t="shared" si="19"/>
        <v>0</v>
      </c>
      <c r="BO25" s="23">
        <f t="shared" si="20"/>
        <v>0</v>
      </c>
      <c r="BQ25" s="89">
        <f t="shared" si="42"/>
        <v>6.8199999999999997E-2</v>
      </c>
      <c r="BR25" s="23">
        <f>BR$5+SUM(BS$5:BS24)+SUM(R$5:R24)-SUM(S$5:S24)+SUM(BV$5:BV24)</f>
        <v>300000</v>
      </c>
      <c r="BS25" s="22">
        <f t="shared" si="49"/>
        <v>0</v>
      </c>
      <c r="BT25" s="22">
        <f t="shared" si="50"/>
        <v>0</v>
      </c>
      <c r="BU25" s="22">
        <f>IF(U25&lt;0,PMT(BQ25/12,Dane_kredytowe!F$13-SUM(AB$5:AB25)+1,BR25),0)</f>
        <v>0</v>
      </c>
      <c r="BV25" s="22">
        <f t="shared" si="43"/>
        <v>0</v>
      </c>
      <c r="BX25" s="23">
        <f>BX$5+SUM(BZ$5:BZ24)+SUM(R$5:R24)-SUM(S$5:S24)+SUM(CB$5,CB24)</f>
        <v>300000</v>
      </c>
      <c r="BY25" s="22">
        <f t="shared" si="21"/>
        <v>0</v>
      </c>
      <c r="BZ25" s="22">
        <f t="shared" si="22"/>
        <v>0</v>
      </c>
      <c r="CA25" s="22">
        <f t="shared" si="51"/>
        <v>0</v>
      </c>
      <c r="CB25" s="22">
        <f t="shared" si="52"/>
        <v>0</v>
      </c>
      <c r="CD25" s="22">
        <f>CD$5+SUM(CE$5:CE24)+SUM(R$5:R24)-SUM(S$5:S24)-SUM(CF$5:CF24)</f>
        <v>300000</v>
      </c>
      <c r="CE25" s="22">
        <f t="shared" si="44"/>
        <v>0</v>
      </c>
      <c r="CF25" s="22">
        <f t="shared" si="23"/>
        <v>0</v>
      </c>
      <c r="CG25" s="22">
        <f t="shared" si="45"/>
        <v>0</v>
      </c>
      <c r="CI25" s="89">
        <f t="shared" si="24"/>
        <v>0.95050000000000001</v>
      </c>
      <c r="CJ25" s="22">
        <f t="shared" si="25"/>
        <v>0</v>
      </c>
      <c r="CK25" s="15">
        <f t="shared" si="46"/>
        <v>0</v>
      </c>
      <c r="CM25" s="22">
        <f t="shared" si="47"/>
        <v>0</v>
      </c>
      <c r="CN25" s="15">
        <f t="shared" si="53"/>
        <v>0</v>
      </c>
    </row>
    <row r="26" spans="1:92">
      <c r="A26" s="25"/>
      <c r="B26" s="90">
        <v>37895</v>
      </c>
      <c r="C26" s="81">
        <f t="shared" si="0"/>
        <v>2.9651000000000001</v>
      </c>
      <c r="D26" s="82">
        <f t="shared" si="48"/>
        <v>3.0540530000000001</v>
      </c>
      <c r="E26" s="73">
        <f t="shared" si="26"/>
        <v>0</v>
      </c>
      <c r="F26" s="19">
        <f t="shared" si="27"/>
        <v>0</v>
      </c>
      <c r="G26" s="19">
        <f t="shared" si="28"/>
        <v>0</v>
      </c>
      <c r="H26" s="19">
        <f t="shared" si="29"/>
        <v>0</v>
      </c>
      <c r="I26" s="62"/>
      <c r="J26" s="15" t="str">
        <f t="shared" si="30"/>
        <v xml:space="preserve"> </v>
      </c>
      <c r="K26" s="15">
        <f>IF(B26&lt;=Dane_kredytowe!F$9,0,K25+1)</f>
        <v>0</v>
      </c>
      <c r="L26" s="83">
        <f t="shared" si="1"/>
        <v>2.4329999999999998E-3</v>
      </c>
      <c r="M26" s="84">
        <f>L26+Dane_kredytowe!F$12</f>
        <v>3.2432999999999997E-2</v>
      </c>
      <c r="N26" s="79">
        <f>MAX(Dane_kredytowe!F$17+SUM(AA$5:AA25)-SUM(X$5:X26)+SUM(W$5:W26),0)</f>
        <v>95134.46</v>
      </c>
      <c r="O26" s="85">
        <f>MAX(Dane_kredytowe!F$8+SUM(V$5:V25)-SUM(S$5:S26)+SUM(R$5:R25),0)</f>
        <v>300000</v>
      </c>
      <c r="P26" s="67">
        <f t="shared" si="31"/>
        <v>360</v>
      </c>
      <c r="Q26" s="127" t="str">
        <f>IF(AND(K26&gt;0,K26&lt;=Dane_kredytowe!F$16),"tak","nie")</f>
        <v>nie</v>
      </c>
      <c r="R26" s="69"/>
      <c r="S26" s="86">
        <f>IF(Dane_kredytowe!F$19=B26,O25+V25,_xlfn.XLOOKUP(B26,Dane_kredytowe!M$9:M$18,Dane_kredytowe!N$9:N$18,0))</f>
        <v>0</v>
      </c>
      <c r="T26" s="71">
        <f t="shared" si="2"/>
        <v>0</v>
      </c>
      <c r="U26" s="72">
        <f>IF(Q26="tak",T26,IF(P26-SUM(AB$5:AB26)+1&gt;0,IF(Dane_kredytowe!F$9&lt;B26,IF(SUM(AB$5:AB26)-Dane_kredytowe!F$16+1&gt;0,PMT(M26/12,P26+1-SUM(AB$5:AB26),O26),T26),0),0))</f>
        <v>0</v>
      </c>
      <c r="V26" s="72">
        <f t="shared" si="32"/>
        <v>0</v>
      </c>
      <c r="W26" s="19" t="str">
        <f t="shared" si="33"/>
        <v xml:space="preserve"> </v>
      </c>
      <c r="X26" s="19">
        <f t="shared" si="3"/>
        <v>0</v>
      </c>
      <c r="Y26" s="73">
        <f t="shared" si="4"/>
        <v>0</v>
      </c>
      <c r="Z26" s="19">
        <f>IF(P26-SUM(AB$5:AB26)+1&gt;0,IF(Dane_kredytowe!F$9&lt;B26,IF(SUM(AB$5:AB26)-Dane_kredytowe!F$16+1&gt;0,PMT(M26/12,P26+1-SUM(AB$5:AB26),N26),Y26),0),0)</f>
        <v>0</v>
      </c>
      <c r="AA26" s="19">
        <f t="shared" si="34"/>
        <v>0</v>
      </c>
      <c r="AB26" s="20" t="str">
        <f>IF(AND(Dane_kredytowe!F$9&lt;B26,SUM(AB$5:AB25)&lt;P25),1," ")</f>
        <v xml:space="preserve"> </v>
      </c>
      <c r="AD26" s="75">
        <f>IF(OR(B26&lt;Dane_kredytowe!F$15,Dane_kredytowe!F$15=""),-F26+S26,0)</f>
        <v>0</v>
      </c>
      <c r="AE26" s="75">
        <f t="shared" si="5"/>
        <v>0</v>
      </c>
      <c r="AG26" s="22">
        <f>Dane_kredytowe!F$17-SUM(AI$5:AI25)+SUM(W26:W$42)-SUM(X26:X$42)</f>
        <v>95134.46</v>
      </c>
      <c r="AH26" s="22">
        <f t="shared" si="6"/>
        <v>0</v>
      </c>
      <c r="AI26" s="22">
        <f t="shared" si="7"/>
        <v>0</v>
      </c>
      <c r="AJ26" s="22">
        <f t="shared" si="35"/>
        <v>0</v>
      </c>
      <c r="AK26" s="22">
        <f t="shared" si="8"/>
        <v>0</v>
      </c>
      <c r="AL26" s="22">
        <f>Dane_kredytowe!F$8-SUM(AN$5:AN25)+SUM(R25:R$42)-SUM(S26:S$42)</f>
        <v>300000</v>
      </c>
      <c r="AM26" s="22">
        <f t="shared" si="9"/>
        <v>0</v>
      </c>
      <c r="AN26" s="22">
        <f t="shared" si="10"/>
        <v>0</v>
      </c>
      <c r="AO26" s="22">
        <f t="shared" si="36"/>
        <v>0</v>
      </c>
      <c r="AP26" s="22">
        <f t="shared" si="37"/>
        <v>0</v>
      </c>
      <c r="AR26" s="87">
        <f t="shared" si="11"/>
        <v>37895</v>
      </c>
      <c r="AS26" s="23">
        <f>AS$5+SUM(AV$5:AV25)-SUM(X$5:X26)+SUM(W$5:W26)</f>
        <v>139056.27143784185</v>
      </c>
      <c r="AT26" s="22">
        <f t="shared" si="12"/>
        <v>0</v>
      </c>
      <c r="AU26" s="22">
        <f>IF(AB26=1,IF(Q26="tak",AT26,PMT(M26/12,P26+1-SUM(AB$5:AB26),AS26)),0)</f>
        <v>0</v>
      </c>
      <c r="AV26" s="22">
        <f t="shared" si="38"/>
        <v>0</v>
      </c>
      <c r="AW26" s="22">
        <f t="shared" si="13"/>
        <v>0</v>
      </c>
      <c r="AY26" s="23">
        <f>AY$5+SUM(BA$5:BA25)+SUM(W$5:W25)-SUM(X$5:X25)</f>
        <v>139056.27143784185</v>
      </c>
      <c r="AZ26" s="23">
        <f t="shared" si="14"/>
        <v>0</v>
      </c>
      <c r="BA26" s="23">
        <f t="shared" si="15"/>
        <v>0</v>
      </c>
      <c r="BB26" s="23">
        <f t="shared" si="39"/>
        <v>0</v>
      </c>
      <c r="BC26" s="23">
        <f t="shared" si="16"/>
        <v>0</v>
      </c>
      <c r="BE26" s="88">
        <f t="shared" si="17"/>
        <v>5.2699999999999997E-2</v>
      </c>
      <c r="BF26" s="89">
        <f>BE26+Dane_kredytowe!F$12</f>
        <v>8.2699999999999996E-2</v>
      </c>
      <c r="BG26" s="23">
        <f>BG$5+SUM(BH$5:BH25)+SUM(R$5:R25)-SUM(S$5:S25)</f>
        <v>300000</v>
      </c>
      <c r="BH26" s="22">
        <f t="shared" si="40"/>
        <v>0</v>
      </c>
      <c r="BI26" s="22">
        <f t="shared" si="41"/>
        <v>0</v>
      </c>
      <c r="BJ26" s="22">
        <f>IF(U26&lt;0,PMT(BF26/12,Dane_kredytowe!F$13-SUM(AB$5:AB26)+1,BG26),0)</f>
        <v>0</v>
      </c>
      <c r="BL26" s="23">
        <f>BL$5+SUM(BN$5:BN25)+SUM(R$5:R25)-SUM(S$5:S25)</f>
        <v>300000</v>
      </c>
      <c r="BM26" s="23">
        <f t="shared" si="18"/>
        <v>0</v>
      </c>
      <c r="BN26" s="23">
        <f t="shared" si="19"/>
        <v>0</v>
      </c>
      <c r="BO26" s="23">
        <f t="shared" si="20"/>
        <v>0</v>
      </c>
      <c r="BQ26" s="89">
        <f t="shared" si="42"/>
        <v>6.9399999999999989E-2</v>
      </c>
      <c r="BR26" s="23">
        <f>BR$5+SUM(BS$5:BS25)+SUM(R$5:R25)-SUM(S$5:S25)+SUM(BV$5:BV25)</f>
        <v>300000</v>
      </c>
      <c r="BS26" s="22">
        <f t="shared" si="49"/>
        <v>0</v>
      </c>
      <c r="BT26" s="22">
        <f t="shared" si="50"/>
        <v>0</v>
      </c>
      <c r="BU26" s="22">
        <f>IF(U26&lt;0,PMT(BQ26/12,Dane_kredytowe!F$13-SUM(AB$5:AB26)+1,BR26),0)</f>
        <v>0</v>
      </c>
      <c r="BV26" s="22">
        <f t="shared" si="43"/>
        <v>0</v>
      </c>
      <c r="BX26" s="23">
        <f>BX$5+SUM(BZ$5:BZ25)+SUM(R$5:R25)-SUM(S$5:S25)+SUM(CB$5,CB25)</f>
        <v>300000</v>
      </c>
      <c r="BY26" s="22">
        <f t="shared" si="21"/>
        <v>0</v>
      </c>
      <c r="BZ26" s="22">
        <f t="shared" si="22"/>
        <v>0</v>
      </c>
      <c r="CA26" s="22">
        <f t="shared" si="51"/>
        <v>0</v>
      </c>
      <c r="CB26" s="22">
        <f t="shared" si="52"/>
        <v>0</v>
      </c>
      <c r="CD26" s="22">
        <f>CD$5+SUM(CE$5:CE25)+SUM(R$5:R25)-SUM(S$5:S25)-SUM(CF$5:CF25)</f>
        <v>300000</v>
      </c>
      <c r="CE26" s="22">
        <f t="shared" si="44"/>
        <v>0</v>
      </c>
      <c r="CF26" s="22">
        <f t="shared" si="23"/>
        <v>0</v>
      </c>
      <c r="CG26" s="22">
        <f t="shared" si="45"/>
        <v>0</v>
      </c>
      <c r="CI26" s="89">
        <f t="shared" si="24"/>
        <v>0.93889999999999996</v>
      </c>
      <c r="CJ26" s="22">
        <f t="shared" si="25"/>
        <v>0</v>
      </c>
      <c r="CK26" s="15">
        <f t="shared" si="46"/>
        <v>0</v>
      </c>
      <c r="CM26" s="22">
        <f t="shared" si="47"/>
        <v>0</v>
      </c>
      <c r="CN26" s="15">
        <f t="shared" si="53"/>
        <v>0</v>
      </c>
    </row>
    <row r="27" spans="1:92">
      <c r="A27" s="25"/>
      <c r="B27" s="90">
        <v>37926</v>
      </c>
      <c r="C27" s="81">
        <f t="shared" si="0"/>
        <v>2.9691000000000001</v>
      </c>
      <c r="D27" s="82">
        <f t="shared" si="48"/>
        <v>3.058173</v>
      </c>
      <c r="E27" s="73">
        <f t="shared" si="26"/>
        <v>0</v>
      </c>
      <c r="F27" s="19">
        <f t="shared" si="27"/>
        <v>0</v>
      </c>
      <c r="G27" s="19">
        <f t="shared" si="28"/>
        <v>0</v>
      </c>
      <c r="H27" s="19">
        <f t="shared" si="29"/>
        <v>0</v>
      </c>
      <c r="I27" s="62"/>
      <c r="J27" s="15" t="str">
        <f t="shared" si="30"/>
        <v xml:space="preserve"> </v>
      </c>
      <c r="K27" s="15">
        <f>IF(B27&lt;=Dane_kredytowe!F$9,0,K26+1)</f>
        <v>0</v>
      </c>
      <c r="L27" s="83">
        <f t="shared" si="1"/>
        <v>2.4919999999999999E-3</v>
      </c>
      <c r="M27" s="84">
        <f>L27+Dane_kredytowe!F$12</f>
        <v>3.2492E-2</v>
      </c>
      <c r="N27" s="79">
        <f>MAX(Dane_kredytowe!F$17+SUM(AA$5:AA26)-SUM(X$5:X27)+SUM(W$5:W27),0)</f>
        <v>95134.46</v>
      </c>
      <c r="O27" s="85">
        <f>MAX(Dane_kredytowe!F$8+SUM(V$5:V26)-SUM(S$5:S27)+SUM(R$5:R26),0)</f>
        <v>300000</v>
      </c>
      <c r="P27" s="67">
        <f t="shared" si="31"/>
        <v>360</v>
      </c>
      <c r="Q27" s="127" t="str">
        <f>IF(AND(K27&gt;0,K27&lt;=Dane_kredytowe!F$16),"tak","nie")</f>
        <v>nie</v>
      </c>
      <c r="R27" s="69"/>
      <c r="S27" s="86">
        <f>IF(Dane_kredytowe!F$19=B27,O26+V26,_xlfn.XLOOKUP(B27,Dane_kredytowe!M$9:M$18,Dane_kredytowe!N$9:N$18,0))</f>
        <v>0</v>
      </c>
      <c r="T27" s="71">
        <f t="shared" si="2"/>
        <v>0</v>
      </c>
      <c r="U27" s="72">
        <f>IF(Q27="tak",T27,IF(P27-SUM(AB$5:AB27)+1&gt;0,IF(Dane_kredytowe!F$9&lt;B27,IF(SUM(AB$5:AB27)-Dane_kredytowe!F$16+1&gt;0,PMT(M27/12,P27+1-SUM(AB$5:AB27),O27),T27),0),0))</f>
        <v>0</v>
      </c>
      <c r="V27" s="72">
        <f t="shared" si="32"/>
        <v>0</v>
      </c>
      <c r="W27" s="19" t="str">
        <f t="shared" si="33"/>
        <v xml:space="preserve"> </v>
      </c>
      <c r="X27" s="19">
        <f t="shared" si="3"/>
        <v>0</v>
      </c>
      <c r="Y27" s="73">
        <f t="shared" si="4"/>
        <v>0</v>
      </c>
      <c r="Z27" s="19">
        <f>IF(P27-SUM(AB$5:AB27)+1&gt;0,IF(Dane_kredytowe!F$9&lt;B27,IF(SUM(AB$5:AB27)-Dane_kredytowe!F$16+1&gt;0,PMT(M27/12,P27+1-SUM(AB$5:AB27),N27),Y27),0),0)</f>
        <v>0</v>
      </c>
      <c r="AA27" s="19">
        <f t="shared" si="34"/>
        <v>0</v>
      </c>
      <c r="AB27" s="20" t="str">
        <f>IF(AND(Dane_kredytowe!F$9&lt;B27,SUM(AB$5:AB26)&lt;P26),1," ")</f>
        <v xml:space="preserve"> </v>
      </c>
      <c r="AD27" s="75">
        <f>IF(OR(B27&lt;Dane_kredytowe!F$15,Dane_kredytowe!F$15=""),-F27+S27,0)</f>
        <v>0</v>
      </c>
      <c r="AE27" s="75">
        <f t="shared" si="5"/>
        <v>0</v>
      </c>
      <c r="AG27" s="22">
        <f>Dane_kredytowe!F$17-SUM(AI$5:AI26)+SUM(W27:W$42)-SUM(X27:X$42)</f>
        <v>95134.46</v>
      </c>
      <c r="AH27" s="22">
        <f t="shared" si="6"/>
        <v>0</v>
      </c>
      <c r="AI27" s="22">
        <f t="shared" si="7"/>
        <v>0</v>
      </c>
      <c r="AJ27" s="22">
        <f t="shared" si="35"/>
        <v>0</v>
      </c>
      <c r="AK27" s="22">
        <f t="shared" si="8"/>
        <v>0</v>
      </c>
      <c r="AL27" s="22">
        <f>Dane_kredytowe!F$8-SUM(AN$5:AN26)+SUM(R26:R$42)-SUM(S27:S$42)</f>
        <v>300000</v>
      </c>
      <c r="AM27" s="22">
        <f t="shared" si="9"/>
        <v>0</v>
      </c>
      <c r="AN27" s="22">
        <f t="shared" si="10"/>
        <v>0</v>
      </c>
      <c r="AO27" s="22">
        <f t="shared" si="36"/>
        <v>0</v>
      </c>
      <c r="AP27" s="22">
        <f t="shared" si="37"/>
        <v>0</v>
      </c>
      <c r="AR27" s="87">
        <f t="shared" si="11"/>
        <v>37926</v>
      </c>
      <c r="AS27" s="23">
        <f>AS$5+SUM(AV$5:AV26)-SUM(X$5:X27)+SUM(W$5:W27)</f>
        <v>139056.27143784185</v>
      </c>
      <c r="AT27" s="22">
        <f t="shared" si="12"/>
        <v>0</v>
      </c>
      <c r="AU27" s="22">
        <f>IF(AB27=1,IF(Q27="tak",AT27,PMT(M27/12,P27+1-SUM(AB$5:AB27),AS27)),0)</f>
        <v>0</v>
      </c>
      <c r="AV27" s="22">
        <f t="shared" si="38"/>
        <v>0</v>
      </c>
      <c r="AW27" s="22">
        <f t="shared" si="13"/>
        <v>0</v>
      </c>
      <c r="AY27" s="23">
        <f>AY$5+SUM(BA$5:BA26)+SUM(W$5:W26)-SUM(X$5:X26)</f>
        <v>139056.27143784185</v>
      </c>
      <c r="AZ27" s="23">
        <f t="shared" si="14"/>
        <v>0</v>
      </c>
      <c r="BA27" s="23">
        <f t="shared" si="15"/>
        <v>0</v>
      </c>
      <c r="BB27" s="23">
        <f t="shared" si="39"/>
        <v>0</v>
      </c>
      <c r="BC27" s="23">
        <f t="shared" si="16"/>
        <v>0</v>
      </c>
      <c r="BE27" s="88">
        <f t="shared" si="17"/>
        <v>5.8299999999999998E-2</v>
      </c>
      <c r="BF27" s="89">
        <f>BE27+Dane_kredytowe!F$12</f>
        <v>8.829999999999999E-2</v>
      </c>
      <c r="BG27" s="23">
        <f>BG$5+SUM(BH$5:BH26)+SUM(R$5:R26)-SUM(S$5:S26)</f>
        <v>300000</v>
      </c>
      <c r="BH27" s="22">
        <f t="shared" si="40"/>
        <v>0</v>
      </c>
      <c r="BI27" s="22">
        <f t="shared" si="41"/>
        <v>0</v>
      </c>
      <c r="BJ27" s="22">
        <f>IF(U27&lt;0,PMT(BF27/12,Dane_kredytowe!F$13-SUM(AB$5:AB27)+1,BG27),0)</f>
        <v>0</v>
      </c>
      <c r="BL27" s="23">
        <f>BL$5+SUM(BN$5:BN26)+SUM(R$5:R26)-SUM(S$5:S26)</f>
        <v>300000</v>
      </c>
      <c r="BM27" s="23">
        <f t="shared" si="18"/>
        <v>0</v>
      </c>
      <c r="BN27" s="23">
        <f t="shared" si="19"/>
        <v>0</v>
      </c>
      <c r="BO27" s="23">
        <f t="shared" si="20"/>
        <v>0</v>
      </c>
      <c r="BQ27" s="89">
        <f t="shared" si="42"/>
        <v>7.4999999999999997E-2</v>
      </c>
      <c r="BR27" s="23">
        <f>BR$5+SUM(BS$5:BS26)+SUM(R$5:R26)-SUM(S$5:S26)+SUM(BV$5:BV26)</f>
        <v>300000</v>
      </c>
      <c r="BS27" s="22">
        <f t="shared" si="49"/>
        <v>0</v>
      </c>
      <c r="BT27" s="22">
        <f t="shared" si="50"/>
        <v>0</v>
      </c>
      <c r="BU27" s="22">
        <f>IF(U27&lt;0,PMT(BQ27/12,Dane_kredytowe!F$13-SUM(AB$5:AB27)+1,BR27),0)</f>
        <v>0</v>
      </c>
      <c r="BV27" s="22">
        <f t="shared" si="43"/>
        <v>0</v>
      </c>
      <c r="BX27" s="23">
        <f>BX$5+SUM(BZ$5:BZ26)+SUM(R$5:R26)-SUM(S$5:S26)+SUM(CB$5,CB26)</f>
        <v>300000</v>
      </c>
      <c r="BY27" s="22">
        <f t="shared" si="21"/>
        <v>0</v>
      </c>
      <c r="BZ27" s="22">
        <f t="shared" si="22"/>
        <v>0</v>
      </c>
      <c r="CA27" s="22">
        <f t="shared" si="51"/>
        <v>0</v>
      </c>
      <c r="CB27" s="22">
        <f t="shared" si="52"/>
        <v>0</v>
      </c>
      <c r="CD27" s="22">
        <f>CD$5+SUM(CE$5:CE26)+SUM(R$5:R26)-SUM(S$5:S26)-SUM(CF$5:CF26)</f>
        <v>300000</v>
      </c>
      <c r="CE27" s="22">
        <f t="shared" si="44"/>
        <v>0</v>
      </c>
      <c r="CF27" s="22">
        <f t="shared" si="23"/>
        <v>0</v>
      </c>
      <c r="CG27" s="22">
        <f t="shared" si="45"/>
        <v>0</v>
      </c>
      <c r="CI27" s="89">
        <f t="shared" si="24"/>
        <v>0.93310000000000004</v>
      </c>
      <c r="CJ27" s="22">
        <f t="shared" si="25"/>
        <v>0</v>
      </c>
      <c r="CK27" s="15">
        <f t="shared" si="46"/>
        <v>0</v>
      </c>
      <c r="CM27" s="22">
        <f t="shared" si="47"/>
        <v>0</v>
      </c>
      <c r="CN27" s="15">
        <f t="shared" si="53"/>
        <v>0</v>
      </c>
    </row>
    <row r="28" spans="1:92">
      <c r="A28" s="25"/>
      <c r="B28" s="90">
        <v>37956</v>
      </c>
      <c r="C28" s="81">
        <f t="shared" si="0"/>
        <v>2.9923999999999999</v>
      </c>
      <c r="D28" s="82">
        <f t="shared" si="48"/>
        <v>3.0821719999999999</v>
      </c>
      <c r="E28" s="73">
        <f t="shared" si="26"/>
        <v>0</v>
      </c>
      <c r="F28" s="19">
        <f t="shared" si="27"/>
        <v>0</v>
      </c>
      <c r="G28" s="19">
        <f t="shared" si="28"/>
        <v>0</v>
      </c>
      <c r="H28" s="19">
        <f t="shared" si="29"/>
        <v>0</v>
      </c>
      <c r="I28" s="62"/>
      <c r="J28" s="15" t="str">
        <f t="shared" si="30"/>
        <v xml:space="preserve"> </v>
      </c>
      <c r="K28" s="15">
        <f>IF(B28&lt;=Dane_kredytowe!F$9,0,K27+1)</f>
        <v>0</v>
      </c>
      <c r="L28" s="83">
        <f t="shared" si="1"/>
        <v>2.7330000000000002E-3</v>
      </c>
      <c r="M28" s="84">
        <f>L28+Dane_kredytowe!F$12</f>
        <v>3.2732999999999998E-2</v>
      </c>
      <c r="N28" s="79">
        <f>MAX(Dane_kredytowe!F$17+SUM(AA$5:AA27)-SUM(X$5:X28)+SUM(W$5:W28),0)</f>
        <v>95134.46</v>
      </c>
      <c r="O28" s="85">
        <f>MAX(Dane_kredytowe!F$8+SUM(V$5:V27)-SUM(S$5:S28)+SUM(R$5:R27),0)</f>
        <v>300000</v>
      </c>
      <c r="P28" s="67">
        <f t="shared" si="31"/>
        <v>360</v>
      </c>
      <c r="Q28" s="127" t="str">
        <f>IF(AND(K28&gt;0,K28&lt;=Dane_kredytowe!F$16),"tak","nie")</f>
        <v>nie</v>
      </c>
      <c r="R28" s="69"/>
      <c r="S28" s="86">
        <f>IF(Dane_kredytowe!F$19=B28,O27+V27,_xlfn.XLOOKUP(B28,Dane_kredytowe!M$9:M$18,Dane_kredytowe!N$9:N$18,0))</f>
        <v>0</v>
      </c>
      <c r="T28" s="71">
        <f t="shared" si="2"/>
        <v>0</v>
      </c>
      <c r="U28" s="72">
        <f>IF(Q28="tak",T28,IF(P28-SUM(AB$5:AB28)+1&gt;0,IF(Dane_kredytowe!F$9&lt;B28,IF(SUM(AB$5:AB28)-Dane_kredytowe!F$16+1&gt;0,PMT(M28/12,P28+1-SUM(AB$5:AB28),O28),T28),0),0))</f>
        <v>0</v>
      </c>
      <c r="V28" s="72">
        <f t="shared" si="32"/>
        <v>0</v>
      </c>
      <c r="W28" s="19" t="str">
        <f t="shared" si="33"/>
        <v xml:space="preserve"> </v>
      </c>
      <c r="X28" s="19">
        <f t="shared" si="3"/>
        <v>0</v>
      </c>
      <c r="Y28" s="73">
        <f t="shared" si="4"/>
        <v>0</v>
      </c>
      <c r="Z28" s="19">
        <f>IF(P28-SUM(AB$5:AB28)+1&gt;0,IF(Dane_kredytowe!F$9&lt;B28,IF(SUM(AB$5:AB28)-Dane_kredytowe!F$16+1&gt;0,PMT(M28/12,P28+1-SUM(AB$5:AB28),N28),Y28),0),0)</f>
        <v>0</v>
      </c>
      <c r="AA28" s="19">
        <f t="shared" si="34"/>
        <v>0</v>
      </c>
      <c r="AB28" s="20" t="str">
        <f>IF(AND(Dane_kredytowe!F$9&lt;B28,SUM(AB$5:AB27)&lt;P27),1," ")</f>
        <v xml:space="preserve"> </v>
      </c>
      <c r="AD28" s="75">
        <f>IF(OR(B28&lt;Dane_kredytowe!F$15,Dane_kredytowe!F$15=""),-F28+S28,0)</f>
        <v>0</v>
      </c>
      <c r="AE28" s="75">
        <f t="shared" si="5"/>
        <v>0</v>
      </c>
      <c r="AG28" s="22">
        <f>Dane_kredytowe!F$17-SUM(AI$5:AI27)+SUM(W28:W$42)-SUM(X28:X$42)</f>
        <v>95134.46</v>
      </c>
      <c r="AH28" s="22">
        <f t="shared" si="6"/>
        <v>0</v>
      </c>
      <c r="AI28" s="22">
        <f t="shared" si="7"/>
        <v>0</v>
      </c>
      <c r="AJ28" s="22">
        <f t="shared" si="35"/>
        <v>0</v>
      </c>
      <c r="AK28" s="22">
        <f t="shared" si="8"/>
        <v>0</v>
      </c>
      <c r="AL28" s="22">
        <f>Dane_kredytowe!F$8-SUM(AN$5:AN27)+SUM(R27:R$42)-SUM(S28:S$42)</f>
        <v>300000</v>
      </c>
      <c r="AM28" s="22">
        <f t="shared" si="9"/>
        <v>0</v>
      </c>
      <c r="AN28" s="22">
        <f t="shared" si="10"/>
        <v>0</v>
      </c>
      <c r="AO28" s="22">
        <f t="shared" si="36"/>
        <v>0</v>
      </c>
      <c r="AP28" s="22">
        <f t="shared" si="37"/>
        <v>0</v>
      </c>
      <c r="AR28" s="87">
        <f t="shared" si="11"/>
        <v>37956</v>
      </c>
      <c r="AS28" s="23">
        <f>AS$5+SUM(AV$5:AV27)-SUM(X$5:X28)+SUM(W$5:W28)</f>
        <v>139056.27143784185</v>
      </c>
      <c r="AT28" s="22">
        <f t="shared" si="12"/>
        <v>0</v>
      </c>
      <c r="AU28" s="22">
        <f>IF(AB28=1,IF(Q28="tak",AT28,PMT(M28/12,P28+1-SUM(AB$5:AB28),AS28)),0)</f>
        <v>0</v>
      </c>
      <c r="AV28" s="22">
        <f t="shared" si="38"/>
        <v>0</v>
      </c>
      <c r="AW28" s="22">
        <f t="shared" si="13"/>
        <v>0</v>
      </c>
      <c r="AY28" s="23">
        <f>AY$5+SUM(BA$5:BA27)+SUM(W$5:W27)-SUM(X$5:X27)</f>
        <v>139056.27143784185</v>
      </c>
      <c r="AZ28" s="23">
        <f t="shared" si="14"/>
        <v>0</v>
      </c>
      <c r="BA28" s="23">
        <f t="shared" si="15"/>
        <v>0</v>
      </c>
      <c r="BB28" s="23">
        <f t="shared" si="39"/>
        <v>0</v>
      </c>
      <c r="BC28" s="23">
        <f t="shared" si="16"/>
        <v>0</v>
      </c>
      <c r="BE28" s="88">
        <f t="shared" si="17"/>
        <v>5.8599999999999999E-2</v>
      </c>
      <c r="BF28" s="89">
        <f>BE28+Dane_kredytowe!F$12</f>
        <v>8.8599999999999998E-2</v>
      </c>
      <c r="BG28" s="23">
        <f>BG$5+SUM(BH$5:BH27)+SUM(R$5:R27)-SUM(S$5:S27)</f>
        <v>300000</v>
      </c>
      <c r="BH28" s="22">
        <f t="shared" si="40"/>
        <v>0</v>
      </c>
      <c r="BI28" s="22">
        <f t="shared" si="41"/>
        <v>0</v>
      </c>
      <c r="BJ28" s="22">
        <f>IF(U28&lt;0,PMT(BF28/12,Dane_kredytowe!F$13-SUM(AB$5:AB28)+1,BG28),0)</f>
        <v>0</v>
      </c>
      <c r="BL28" s="23">
        <f>BL$5+SUM(BN$5:BN27)+SUM(R$5:R27)-SUM(S$5:S27)</f>
        <v>300000</v>
      </c>
      <c r="BM28" s="23">
        <f t="shared" si="18"/>
        <v>0</v>
      </c>
      <c r="BN28" s="23">
        <f t="shared" si="19"/>
        <v>0</v>
      </c>
      <c r="BO28" s="23">
        <f t="shared" si="20"/>
        <v>0</v>
      </c>
      <c r="BQ28" s="89">
        <f t="shared" si="42"/>
        <v>7.5300000000000006E-2</v>
      </c>
      <c r="BR28" s="23">
        <f>BR$5+SUM(BS$5:BS27)+SUM(R$5:R27)-SUM(S$5:S27)+SUM(BV$5:BV27)</f>
        <v>300000</v>
      </c>
      <c r="BS28" s="22">
        <f t="shared" si="49"/>
        <v>0</v>
      </c>
      <c r="BT28" s="22">
        <f t="shared" si="50"/>
        <v>0</v>
      </c>
      <c r="BU28" s="22">
        <f>IF(U28&lt;0,PMT(BQ28/12,Dane_kredytowe!F$13-SUM(AB$5:AB28)+1,BR28),0)</f>
        <v>0</v>
      </c>
      <c r="BV28" s="22">
        <f t="shared" si="43"/>
        <v>0</v>
      </c>
      <c r="BX28" s="23">
        <f>BX$5+SUM(BZ$5:BZ27)+SUM(R$5:R27)-SUM(S$5:S27)+SUM(CB$5,CB27)</f>
        <v>300000</v>
      </c>
      <c r="BY28" s="22">
        <f t="shared" si="21"/>
        <v>0</v>
      </c>
      <c r="BZ28" s="22">
        <f t="shared" si="22"/>
        <v>0</v>
      </c>
      <c r="CA28" s="22">
        <f t="shared" si="51"/>
        <v>0</v>
      </c>
      <c r="CB28" s="22">
        <f t="shared" si="52"/>
        <v>0</v>
      </c>
      <c r="CD28" s="22">
        <f>CD$5+SUM(CE$5:CE27)+SUM(R$5:R27)-SUM(S$5:S27)-SUM(CF$5:CF27)</f>
        <v>300000</v>
      </c>
      <c r="CE28" s="22">
        <f t="shared" si="44"/>
        <v>0</v>
      </c>
      <c r="CF28" s="22">
        <f t="shared" si="23"/>
        <v>0</v>
      </c>
      <c r="CG28" s="22">
        <f t="shared" si="45"/>
        <v>0</v>
      </c>
      <c r="CI28" s="89">
        <f t="shared" si="24"/>
        <v>0.92930000000000001</v>
      </c>
      <c r="CJ28" s="22">
        <f t="shared" si="25"/>
        <v>0</v>
      </c>
      <c r="CK28" s="15">
        <f t="shared" si="46"/>
        <v>0</v>
      </c>
      <c r="CM28" s="22">
        <f t="shared" si="47"/>
        <v>0</v>
      </c>
      <c r="CN28" s="15">
        <f t="shared" si="53"/>
        <v>0</v>
      </c>
    </row>
    <row r="29" spans="1:92">
      <c r="A29" s="25">
        <v>2004</v>
      </c>
      <c r="B29" s="80">
        <v>37987</v>
      </c>
      <c r="C29" s="81">
        <f t="shared" si="0"/>
        <v>3.0099</v>
      </c>
      <c r="D29" s="82">
        <f t="shared" si="48"/>
        <v>3.1001970000000001</v>
      </c>
      <c r="E29" s="73">
        <f t="shared" si="26"/>
        <v>0</v>
      </c>
      <c r="F29" s="19">
        <f t="shared" si="27"/>
        <v>0</v>
      </c>
      <c r="G29" s="19">
        <f t="shared" si="28"/>
        <v>0</v>
      </c>
      <c r="H29" s="19">
        <f t="shared" si="29"/>
        <v>0</v>
      </c>
      <c r="I29" s="62"/>
      <c r="J29" s="15" t="str">
        <f t="shared" si="30"/>
        <v xml:space="preserve"> </v>
      </c>
      <c r="K29" s="15">
        <f>IF(B29&lt;=Dane_kredytowe!F$9,0,K28+1)</f>
        <v>0</v>
      </c>
      <c r="L29" s="83">
        <f t="shared" si="1"/>
        <v>2.5999999999999999E-3</v>
      </c>
      <c r="M29" s="84">
        <f>L29+Dane_kredytowe!F$12</f>
        <v>3.2599999999999997E-2</v>
      </c>
      <c r="N29" s="79">
        <f>MAX(Dane_kredytowe!F$17+SUM(AA$5:AA28)-SUM(X$5:X29)+SUM(W$5:W29),0)</f>
        <v>95134.46</v>
      </c>
      <c r="O29" s="85">
        <f>MAX(Dane_kredytowe!F$8+SUM(V$5:V28)-SUM(S$5:S29)+SUM(R$5:R28),0)</f>
        <v>300000</v>
      </c>
      <c r="P29" s="67">
        <f t="shared" si="31"/>
        <v>360</v>
      </c>
      <c r="Q29" s="127" t="str">
        <f>IF(AND(K29&gt;0,K29&lt;=Dane_kredytowe!F$16),"tak","nie")</f>
        <v>nie</v>
      </c>
      <c r="R29" s="69"/>
      <c r="S29" s="86">
        <f>IF(Dane_kredytowe!F$19=B29,O28+V28,_xlfn.XLOOKUP(B29,Dane_kredytowe!M$9:M$18,Dane_kredytowe!N$9:N$18,0))</f>
        <v>0</v>
      </c>
      <c r="T29" s="71">
        <f t="shared" si="2"/>
        <v>0</v>
      </c>
      <c r="U29" s="72">
        <f>IF(Q29="tak",T29,IF(P29-SUM(AB$5:AB29)+1&gt;0,IF(Dane_kredytowe!F$9&lt;B29,IF(SUM(AB$5:AB29)-Dane_kredytowe!F$16+1&gt;0,PMT(M29/12,P29+1-SUM(AB$5:AB29),O29),T29),0),0))</f>
        <v>0</v>
      </c>
      <c r="V29" s="72">
        <f t="shared" si="32"/>
        <v>0</v>
      </c>
      <c r="W29" s="19" t="str">
        <f t="shared" si="33"/>
        <v xml:space="preserve"> </v>
      </c>
      <c r="X29" s="19">
        <f t="shared" si="3"/>
        <v>0</v>
      </c>
      <c r="Y29" s="73">
        <f t="shared" si="4"/>
        <v>0</v>
      </c>
      <c r="Z29" s="19">
        <f>IF(P29-SUM(AB$5:AB29)+1&gt;0,IF(Dane_kredytowe!F$9&lt;B29,IF(SUM(AB$5:AB29)-Dane_kredytowe!F$16+1&gt;0,PMT(M29/12,P29+1-SUM(AB$5:AB29),N29),Y29),0),0)</f>
        <v>0</v>
      </c>
      <c r="AA29" s="19">
        <f t="shared" si="34"/>
        <v>0</v>
      </c>
      <c r="AB29" s="20" t="str">
        <f>IF(AND(Dane_kredytowe!F$9&lt;B29,SUM(AB$5:AB28)&lt;P28),1," ")</f>
        <v xml:space="preserve"> </v>
      </c>
      <c r="AD29" s="75">
        <f>IF(OR(B29&lt;Dane_kredytowe!F$15,Dane_kredytowe!F$15=""),-F29+S29,0)</f>
        <v>0</v>
      </c>
      <c r="AE29" s="75">
        <f t="shared" si="5"/>
        <v>0</v>
      </c>
      <c r="AG29" s="22">
        <f>Dane_kredytowe!F$17-SUM(AI$5:AI28)+SUM(W29:W$42)-SUM(X29:X$42)</f>
        <v>95134.46</v>
      </c>
      <c r="AH29" s="22">
        <f t="shared" si="6"/>
        <v>0</v>
      </c>
      <c r="AI29" s="22">
        <f t="shared" si="7"/>
        <v>0</v>
      </c>
      <c r="AJ29" s="22">
        <f t="shared" si="35"/>
        <v>0</v>
      </c>
      <c r="AK29" s="22">
        <f t="shared" si="8"/>
        <v>0</v>
      </c>
      <c r="AL29" s="22">
        <f>Dane_kredytowe!F$8-SUM(AN$5:AN28)+SUM(R28:R$42)-SUM(S29:S$42)</f>
        <v>300000</v>
      </c>
      <c r="AM29" s="22">
        <f t="shared" si="9"/>
        <v>0</v>
      </c>
      <c r="AN29" s="22">
        <f t="shared" si="10"/>
        <v>0</v>
      </c>
      <c r="AO29" s="22">
        <f t="shared" si="36"/>
        <v>0</v>
      </c>
      <c r="AP29" s="22">
        <f t="shared" si="37"/>
        <v>0</v>
      </c>
      <c r="AR29" s="87">
        <f t="shared" si="11"/>
        <v>37987</v>
      </c>
      <c r="AS29" s="23">
        <f>AS$5+SUM(AV$5:AV28)-SUM(X$5:X29)+SUM(W$5:W29)</f>
        <v>139056.27143784185</v>
      </c>
      <c r="AT29" s="22">
        <f t="shared" si="12"/>
        <v>0</v>
      </c>
      <c r="AU29" s="22">
        <f>IF(AB29=1,IF(Q29="tak",AT29,PMT(M29/12,P29+1-SUM(AB$5:AB29),AS29)),0)</f>
        <v>0</v>
      </c>
      <c r="AV29" s="22">
        <f t="shared" si="38"/>
        <v>0</v>
      </c>
      <c r="AW29" s="22">
        <f t="shared" si="13"/>
        <v>0</v>
      </c>
      <c r="AY29" s="23">
        <f>AY$5+SUM(BA$5:BA28)+SUM(W$5:W28)-SUM(X$5:X28)</f>
        <v>139056.27143784185</v>
      </c>
      <c r="AZ29" s="23">
        <f t="shared" si="14"/>
        <v>0</v>
      </c>
      <c r="BA29" s="23">
        <f t="shared" si="15"/>
        <v>0</v>
      </c>
      <c r="BB29" s="23">
        <f t="shared" si="39"/>
        <v>0</v>
      </c>
      <c r="BC29" s="23">
        <f t="shared" si="16"/>
        <v>0</v>
      </c>
      <c r="BE29" s="88">
        <f t="shared" si="17"/>
        <v>5.5199999999999999E-2</v>
      </c>
      <c r="BF29" s="89">
        <f>BE29+Dane_kredytowe!F$12</f>
        <v>8.5199999999999998E-2</v>
      </c>
      <c r="BG29" s="23">
        <f>BG$5+SUM(BH$5:BH28)+SUM(R$5:R28)-SUM(S$5:S28)</f>
        <v>300000</v>
      </c>
      <c r="BH29" s="22">
        <f t="shared" si="40"/>
        <v>0</v>
      </c>
      <c r="BI29" s="22">
        <f t="shared" si="41"/>
        <v>0</v>
      </c>
      <c r="BJ29" s="22">
        <f>IF(U29&lt;0,PMT(BF29/12,Dane_kredytowe!F$13-SUM(AB$5:AB29)+1,BG29),0)</f>
        <v>0</v>
      </c>
      <c r="BL29" s="23">
        <f>BL$5+SUM(BN$5:BN28)+SUM(R$5:R28)-SUM(S$5:S28)</f>
        <v>300000</v>
      </c>
      <c r="BM29" s="23">
        <f t="shared" si="18"/>
        <v>0</v>
      </c>
      <c r="BN29" s="23">
        <f t="shared" si="19"/>
        <v>0</v>
      </c>
      <c r="BO29" s="23">
        <f t="shared" si="20"/>
        <v>0</v>
      </c>
      <c r="BQ29" s="89">
        <f t="shared" si="42"/>
        <v>7.1899999999999992E-2</v>
      </c>
      <c r="BR29" s="23">
        <f>BR$5+SUM(BS$5:BS28)+SUM(R$5:R28)-SUM(S$5:S28)+SUM(BV$5:BV28)</f>
        <v>300000</v>
      </c>
      <c r="BS29" s="22">
        <f t="shared" si="49"/>
        <v>0</v>
      </c>
      <c r="BT29" s="22">
        <f t="shared" si="50"/>
        <v>0</v>
      </c>
      <c r="BU29" s="22">
        <f>IF(U29&lt;0,PMT(BQ29/12,Dane_kredytowe!F$13-SUM(AB$5:AB29)+1,BR29),0)</f>
        <v>0</v>
      </c>
      <c r="BV29" s="22">
        <f t="shared" si="43"/>
        <v>0</v>
      </c>
      <c r="BX29" s="23">
        <f>BX$5+SUM(BZ$5:BZ28)+SUM(R$5:R28)-SUM(S$5:S28)+SUM(CB$5,CB28)</f>
        <v>300000</v>
      </c>
      <c r="BY29" s="22">
        <f t="shared" si="21"/>
        <v>0</v>
      </c>
      <c r="BZ29" s="22">
        <f t="shared" si="22"/>
        <v>0</v>
      </c>
      <c r="CA29" s="22">
        <f t="shared" si="51"/>
        <v>0</v>
      </c>
      <c r="CB29" s="22">
        <f t="shared" si="52"/>
        <v>0</v>
      </c>
      <c r="CD29" s="22">
        <f>CD$5+SUM(CE$5:CE28)+SUM(R$5:R28)-SUM(S$5:S28)-SUM(CF$5:CF28)</f>
        <v>300000</v>
      </c>
      <c r="CE29" s="22">
        <f t="shared" si="44"/>
        <v>0</v>
      </c>
      <c r="CF29" s="22">
        <f t="shared" si="23"/>
        <v>0</v>
      </c>
      <c r="CG29" s="22">
        <f t="shared" si="45"/>
        <v>0</v>
      </c>
      <c r="CI29" s="89">
        <f t="shared" si="24"/>
        <v>0.92159999999999997</v>
      </c>
      <c r="CJ29" s="22">
        <f t="shared" si="25"/>
        <v>0</v>
      </c>
      <c r="CK29" s="15">
        <f t="shared" si="46"/>
        <v>0</v>
      </c>
      <c r="CM29" s="22">
        <f t="shared" si="47"/>
        <v>0</v>
      </c>
      <c r="CN29" s="15">
        <f t="shared" si="53"/>
        <v>0</v>
      </c>
    </row>
    <row r="30" spans="1:92">
      <c r="A30" s="25"/>
      <c r="B30" s="80">
        <v>38018</v>
      </c>
      <c r="C30" s="81">
        <f t="shared" si="0"/>
        <v>3.0846</v>
      </c>
      <c r="D30" s="82">
        <f t="shared" si="48"/>
        <v>3.1771380000000002</v>
      </c>
      <c r="E30" s="73">
        <f t="shared" si="26"/>
        <v>0</v>
      </c>
      <c r="F30" s="19">
        <f t="shared" si="27"/>
        <v>0</v>
      </c>
      <c r="G30" s="19">
        <f t="shared" si="28"/>
        <v>0</v>
      </c>
      <c r="H30" s="19">
        <f t="shared" si="29"/>
        <v>0</v>
      </c>
      <c r="I30" s="62"/>
      <c r="J30" s="15" t="str">
        <f t="shared" si="30"/>
        <v xml:space="preserve"> </v>
      </c>
      <c r="K30" s="15">
        <f>IF(B30&lt;=Dane_kredytowe!F$9,0,K29+1)</f>
        <v>0</v>
      </c>
      <c r="L30" s="83">
        <f t="shared" si="1"/>
        <v>2.4499999999999999E-3</v>
      </c>
      <c r="M30" s="84">
        <f>L30+Dane_kredytowe!F$12</f>
        <v>3.245E-2</v>
      </c>
      <c r="N30" s="79">
        <f>MAX(Dane_kredytowe!F$17+SUM(AA$5:AA29)-SUM(X$5:X30)+SUM(W$5:W30),0)</f>
        <v>95134.46</v>
      </c>
      <c r="O30" s="85">
        <f>MAX(Dane_kredytowe!F$8+SUM(V$5:V29)-SUM(S$5:S30)+SUM(R$5:R29),0)</f>
        <v>300000</v>
      </c>
      <c r="P30" s="67">
        <f t="shared" si="31"/>
        <v>360</v>
      </c>
      <c r="Q30" s="127" t="str">
        <f>IF(AND(K30&gt;0,K30&lt;=Dane_kredytowe!F$16),"tak","nie")</f>
        <v>nie</v>
      </c>
      <c r="R30" s="69"/>
      <c r="S30" s="86">
        <f>IF(Dane_kredytowe!F$19=B30,O29+V29,_xlfn.XLOOKUP(B30,Dane_kredytowe!M$9:M$18,Dane_kredytowe!N$9:N$18,0))</f>
        <v>0</v>
      </c>
      <c r="T30" s="71">
        <f t="shared" si="2"/>
        <v>0</v>
      </c>
      <c r="U30" s="72">
        <f>IF(Q30="tak",T30,IF(P30-SUM(AB$5:AB30)+1&gt;0,IF(Dane_kredytowe!F$9&lt;B30,IF(SUM(AB$5:AB30)-Dane_kredytowe!F$16+1&gt;0,PMT(M30/12,P30+1-SUM(AB$5:AB30),O30),T30),0),0))</f>
        <v>0</v>
      </c>
      <c r="V30" s="72">
        <f t="shared" si="32"/>
        <v>0</v>
      </c>
      <c r="W30" s="19" t="str">
        <f t="shared" si="33"/>
        <v xml:space="preserve"> </v>
      </c>
      <c r="X30" s="19">
        <f t="shared" si="3"/>
        <v>0</v>
      </c>
      <c r="Y30" s="73">
        <f t="shared" si="4"/>
        <v>0</v>
      </c>
      <c r="Z30" s="19">
        <f>IF(P30-SUM(AB$5:AB30)+1&gt;0,IF(Dane_kredytowe!F$9&lt;B30,IF(SUM(AB$5:AB30)-Dane_kredytowe!F$16+1&gt;0,PMT(M30/12,P30+1-SUM(AB$5:AB30),N30),Y30),0),0)</f>
        <v>0</v>
      </c>
      <c r="AA30" s="19">
        <f t="shared" si="34"/>
        <v>0</v>
      </c>
      <c r="AB30" s="20" t="str">
        <f>IF(AND(Dane_kredytowe!F$9&lt;B30,SUM(AB$5:AB29)&lt;P29),1," ")</f>
        <v xml:space="preserve"> </v>
      </c>
      <c r="AD30" s="75">
        <f>IF(OR(B30&lt;Dane_kredytowe!F$15,Dane_kredytowe!F$15=""),-F30+S30,0)</f>
        <v>0</v>
      </c>
      <c r="AE30" s="75">
        <f t="shared" si="5"/>
        <v>0</v>
      </c>
      <c r="AG30" s="22">
        <f>Dane_kredytowe!F$17-SUM(AI$5:AI29)+SUM(W30:W$42)-SUM(X30:X$42)</f>
        <v>95134.46</v>
      </c>
      <c r="AH30" s="22">
        <f t="shared" si="6"/>
        <v>0</v>
      </c>
      <c r="AI30" s="22">
        <f t="shared" si="7"/>
        <v>0</v>
      </c>
      <c r="AJ30" s="22">
        <f t="shared" si="35"/>
        <v>0</v>
      </c>
      <c r="AK30" s="22">
        <f t="shared" si="8"/>
        <v>0</v>
      </c>
      <c r="AL30" s="22">
        <f>Dane_kredytowe!F$8-SUM(AN$5:AN29)+SUM(R29:R$42)-SUM(S30:S$42)</f>
        <v>300000</v>
      </c>
      <c r="AM30" s="22">
        <f t="shared" si="9"/>
        <v>0</v>
      </c>
      <c r="AN30" s="22">
        <f t="shared" si="10"/>
        <v>0</v>
      </c>
      <c r="AO30" s="22">
        <f t="shared" si="36"/>
        <v>0</v>
      </c>
      <c r="AP30" s="22">
        <f t="shared" si="37"/>
        <v>0</v>
      </c>
      <c r="AR30" s="87">
        <f t="shared" si="11"/>
        <v>38018</v>
      </c>
      <c r="AS30" s="23">
        <f>AS$5+SUM(AV$5:AV29)-SUM(X$5:X30)+SUM(W$5:W30)</f>
        <v>139056.27143784185</v>
      </c>
      <c r="AT30" s="22">
        <f t="shared" si="12"/>
        <v>0</v>
      </c>
      <c r="AU30" s="22">
        <f>IF(AB30=1,IF(Q30="tak",AT30,PMT(M30/12,P30+1-SUM(AB$5:AB30),AS30)),0)</f>
        <v>0</v>
      </c>
      <c r="AV30" s="22">
        <f t="shared" si="38"/>
        <v>0</v>
      </c>
      <c r="AW30" s="22">
        <f t="shared" si="13"/>
        <v>0</v>
      </c>
      <c r="AY30" s="23">
        <f>AY$5+SUM(BA$5:BA29)+SUM(W$5:W29)-SUM(X$5:X29)</f>
        <v>139056.27143784185</v>
      </c>
      <c r="AZ30" s="23">
        <f t="shared" si="14"/>
        <v>0</v>
      </c>
      <c r="BA30" s="23">
        <f t="shared" si="15"/>
        <v>0</v>
      </c>
      <c r="BB30" s="23">
        <f t="shared" si="39"/>
        <v>0</v>
      </c>
      <c r="BC30" s="23">
        <f t="shared" si="16"/>
        <v>0</v>
      </c>
      <c r="BE30" s="88">
        <f t="shared" si="17"/>
        <v>5.5E-2</v>
      </c>
      <c r="BF30" s="89">
        <f>BE30+Dane_kredytowe!F$12</f>
        <v>8.4999999999999992E-2</v>
      </c>
      <c r="BG30" s="23">
        <f>BG$5+SUM(BH$5:BH29)+SUM(R$5:R29)-SUM(S$5:S29)</f>
        <v>300000</v>
      </c>
      <c r="BH30" s="22">
        <f t="shared" si="40"/>
        <v>0</v>
      </c>
      <c r="BI30" s="22">
        <f t="shared" si="41"/>
        <v>0</v>
      </c>
      <c r="BJ30" s="22">
        <f>IF(U30&lt;0,PMT(BF30/12,Dane_kredytowe!F$13-SUM(AB$5:AB30)+1,BG30),0)</f>
        <v>0</v>
      </c>
      <c r="BL30" s="23">
        <f>BL$5+SUM(BN$5:BN29)+SUM(R$5:R29)-SUM(S$5:S29)</f>
        <v>300000</v>
      </c>
      <c r="BM30" s="23">
        <f t="shared" si="18"/>
        <v>0</v>
      </c>
      <c r="BN30" s="23">
        <f t="shared" si="19"/>
        <v>0</v>
      </c>
      <c r="BO30" s="23">
        <f t="shared" si="20"/>
        <v>0</v>
      </c>
      <c r="BQ30" s="89">
        <f t="shared" si="42"/>
        <v>7.17E-2</v>
      </c>
      <c r="BR30" s="23">
        <f>BR$5+SUM(BS$5:BS29)+SUM(R$5:R29)-SUM(S$5:S29)+SUM(BV$5:BV29)</f>
        <v>300000</v>
      </c>
      <c r="BS30" s="22">
        <f t="shared" si="49"/>
        <v>0</v>
      </c>
      <c r="BT30" s="22">
        <f t="shared" si="50"/>
        <v>0</v>
      </c>
      <c r="BU30" s="22">
        <f>IF(U30&lt;0,PMT(BQ30/12,Dane_kredytowe!F$13-SUM(AB$5:AB30)+1,BR30),0)</f>
        <v>0</v>
      </c>
      <c r="BV30" s="22">
        <f t="shared" si="43"/>
        <v>0</v>
      </c>
      <c r="BX30" s="23">
        <f>BX$5+SUM(BZ$5:BZ29)+SUM(R$5:R29)-SUM(S$5:S29)+SUM(CB$5,CB29)</f>
        <v>300000</v>
      </c>
      <c r="BY30" s="22">
        <f t="shared" si="21"/>
        <v>0</v>
      </c>
      <c r="BZ30" s="22">
        <f t="shared" si="22"/>
        <v>0</v>
      </c>
      <c r="CA30" s="22">
        <f t="shared" si="51"/>
        <v>0</v>
      </c>
      <c r="CB30" s="22">
        <f t="shared" si="52"/>
        <v>0</v>
      </c>
      <c r="CD30" s="22">
        <f>CD$5+SUM(CE$5:CE29)+SUM(R$5:R29)-SUM(S$5:S29)-SUM(CF$5:CF29)</f>
        <v>300000</v>
      </c>
      <c r="CE30" s="22">
        <f t="shared" si="44"/>
        <v>0</v>
      </c>
      <c r="CF30" s="22">
        <f t="shared" si="23"/>
        <v>0</v>
      </c>
      <c r="CG30" s="22">
        <f t="shared" si="45"/>
        <v>0</v>
      </c>
      <c r="CI30" s="89">
        <f t="shared" si="24"/>
        <v>0.91969999999999996</v>
      </c>
      <c r="CJ30" s="22">
        <f t="shared" si="25"/>
        <v>0</v>
      </c>
      <c r="CK30" s="15">
        <f t="shared" si="46"/>
        <v>0</v>
      </c>
      <c r="CM30" s="22">
        <f t="shared" si="47"/>
        <v>0</v>
      </c>
      <c r="CN30" s="15">
        <f t="shared" si="53"/>
        <v>0</v>
      </c>
    </row>
    <row r="31" spans="1:92">
      <c r="A31" s="25"/>
      <c r="B31" s="80">
        <v>38047</v>
      </c>
      <c r="C31" s="81">
        <f t="shared" si="0"/>
        <v>3.0444</v>
      </c>
      <c r="D31" s="82">
        <f t="shared" si="48"/>
        <v>3.135732</v>
      </c>
      <c r="E31" s="73">
        <f t="shared" si="26"/>
        <v>0</v>
      </c>
      <c r="F31" s="19">
        <f t="shared" si="27"/>
        <v>0</v>
      </c>
      <c r="G31" s="19">
        <f t="shared" si="28"/>
        <v>0</v>
      </c>
      <c r="H31" s="19">
        <f t="shared" si="29"/>
        <v>0</v>
      </c>
      <c r="I31" s="62"/>
      <c r="J31" s="15" t="str">
        <f t="shared" si="30"/>
        <v xml:space="preserve"> </v>
      </c>
      <c r="K31" s="15">
        <f>IF(B31&lt;=Dane_kredytowe!F$9,0,K30+1)</f>
        <v>0</v>
      </c>
      <c r="L31" s="83">
        <f t="shared" si="1"/>
        <v>2.5999999999999999E-3</v>
      </c>
      <c r="M31" s="84">
        <f>L31+Dane_kredytowe!F$12</f>
        <v>3.2599999999999997E-2</v>
      </c>
      <c r="N31" s="79">
        <f>MAX(Dane_kredytowe!F$17+SUM(AA$5:AA30)-SUM(X$5:X31)+SUM(W$5:W31),0)</f>
        <v>95134.46</v>
      </c>
      <c r="O31" s="85">
        <f>MAX(Dane_kredytowe!F$8+SUM(V$5:V30)-SUM(S$5:S31)+SUM(R$5:R30),0)</f>
        <v>300000</v>
      </c>
      <c r="P31" s="67">
        <f t="shared" si="31"/>
        <v>360</v>
      </c>
      <c r="Q31" s="127" t="str">
        <f>IF(AND(K31&gt;0,K31&lt;=Dane_kredytowe!F$16),"tak","nie")</f>
        <v>nie</v>
      </c>
      <c r="R31" s="69"/>
      <c r="S31" s="86">
        <f>IF(Dane_kredytowe!F$19=B31,O30+V30,_xlfn.XLOOKUP(B31,Dane_kredytowe!M$9:M$18,Dane_kredytowe!N$9:N$18,0))</f>
        <v>0</v>
      </c>
      <c r="T31" s="71">
        <f t="shared" si="2"/>
        <v>0</v>
      </c>
      <c r="U31" s="72">
        <f>IF(Q31="tak",T31,IF(P31-SUM(AB$5:AB31)+1&gt;0,IF(Dane_kredytowe!F$9&lt;B31,IF(SUM(AB$5:AB31)-Dane_kredytowe!F$16+1&gt;0,PMT(M31/12,P31+1-SUM(AB$5:AB31),O31),T31),0),0))</f>
        <v>0</v>
      </c>
      <c r="V31" s="72">
        <f t="shared" si="32"/>
        <v>0</v>
      </c>
      <c r="W31" s="19" t="str">
        <f t="shared" si="33"/>
        <v xml:space="preserve"> </v>
      </c>
      <c r="X31" s="19">
        <f t="shared" si="3"/>
        <v>0</v>
      </c>
      <c r="Y31" s="73">
        <f t="shared" si="4"/>
        <v>0</v>
      </c>
      <c r="Z31" s="19">
        <f>IF(P31-SUM(AB$5:AB31)+1&gt;0,IF(Dane_kredytowe!F$9&lt;B31,IF(SUM(AB$5:AB31)-Dane_kredytowe!F$16+1&gt;0,PMT(M31/12,P31+1-SUM(AB$5:AB31),N31),Y31),0),0)</f>
        <v>0</v>
      </c>
      <c r="AA31" s="19">
        <f t="shared" si="34"/>
        <v>0</v>
      </c>
      <c r="AB31" s="20" t="str">
        <f>IF(AND(Dane_kredytowe!F$9&lt;B31,SUM(AB$5:AB30)&lt;P30),1," ")</f>
        <v xml:space="preserve"> </v>
      </c>
      <c r="AD31" s="75">
        <f>IF(OR(B31&lt;Dane_kredytowe!F$15,Dane_kredytowe!F$15=""),-F31+S31,0)</f>
        <v>0</v>
      </c>
      <c r="AE31" s="75">
        <f t="shared" si="5"/>
        <v>0</v>
      </c>
      <c r="AG31" s="22">
        <f>Dane_kredytowe!F$17-SUM(AI$5:AI30)+SUM(W31:W$42)-SUM(X31:X$42)</f>
        <v>95134.46</v>
      </c>
      <c r="AH31" s="22">
        <f t="shared" si="6"/>
        <v>0</v>
      </c>
      <c r="AI31" s="22">
        <f t="shared" si="7"/>
        <v>0</v>
      </c>
      <c r="AJ31" s="22">
        <f t="shared" si="35"/>
        <v>0</v>
      </c>
      <c r="AK31" s="22">
        <f t="shared" si="8"/>
        <v>0</v>
      </c>
      <c r="AL31" s="22">
        <f>Dane_kredytowe!F$8-SUM(AN$5:AN30)+SUM(R30:R$42)-SUM(S31:S$42)</f>
        <v>300000</v>
      </c>
      <c r="AM31" s="22">
        <f t="shared" si="9"/>
        <v>0</v>
      </c>
      <c r="AN31" s="22">
        <f t="shared" si="10"/>
        <v>0</v>
      </c>
      <c r="AO31" s="22">
        <f t="shared" si="36"/>
        <v>0</v>
      </c>
      <c r="AP31" s="22">
        <f t="shared" si="37"/>
        <v>0</v>
      </c>
      <c r="AR31" s="87">
        <f t="shared" si="11"/>
        <v>38047</v>
      </c>
      <c r="AS31" s="23">
        <f>AS$5+SUM(AV$5:AV30)-SUM(X$5:X31)+SUM(W$5:W31)</f>
        <v>139056.27143784185</v>
      </c>
      <c r="AT31" s="22">
        <f t="shared" si="12"/>
        <v>0</v>
      </c>
      <c r="AU31" s="22">
        <f>IF(AB31=1,IF(Q31="tak",AT31,PMT(M31/12,P31+1-SUM(AB$5:AB31),AS31)),0)</f>
        <v>0</v>
      </c>
      <c r="AV31" s="22">
        <f t="shared" si="38"/>
        <v>0</v>
      </c>
      <c r="AW31" s="22">
        <f t="shared" si="13"/>
        <v>0</v>
      </c>
      <c r="AY31" s="23">
        <f>AY$5+SUM(BA$5:BA30)+SUM(W$5:W30)-SUM(X$5:X30)</f>
        <v>139056.27143784185</v>
      </c>
      <c r="AZ31" s="23">
        <f t="shared" si="14"/>
        <v>0</v>
      </c>
      <c r="BA31" s="23">
        <f t="shared" si="15"/>
        <v>0</v>
      </c>
      <c r="BB31" s="23">
        <f t="shared" si="39"/>
        <v>0</v>
      </c>
      <c r="BC31" s="23">
        <f t="shared" si="16"/>
        <v>0</v>
      </c>
      <c r="BE31" s="88">
        <f t="shared" si="17"/>
        <v>5.5199999999999999E-2</v>
      </c>
      <c r="BF31" s="89">
        <f>BE31+Dane_kredytowe!F$12</f>
        <v>8.5199999999999998E-2</v>
      </c>
      <c r="BG31" s="23">
        <f>BG$5+SUM(BH$5:BH30)+SUM(R$5:R30)-SUM(S$5:S30)</f>
        <v>300000</v>
      </c>
      <c r="BH31" s="22">
        <f t="shared" si="40"/>
        <v>0</v>
      </c>
      <c r="BI31" s="22">
        <f t="shared" si="41"/>
        <v>0</v>
      </c>
      <c r="BJ31" s="22">
        <f>IF(U31&lt;0,PMT(BF31/12,Dane_kredytowe!F$13-SUM(AB$5:AB31)+1,BG31),0)</f>
        <v>0</v>
      </c>
      <c r="BL31" s="23">
        <f>BL$5+SUM(BN$5:BN30)+SUM(R$5:R30)-SUM(S$5:S30)</f>
        <v>300000</v>
      </c>
      <c r="BM31" s="23">
        <f t="shared" si="18"/>
        <v>0</v>
      </c>
      <c r="BN31" s="23">
        <f t="shared" si="19"/>
        <v>0</v>
      </c>
      <c r="BO31" s="23">
        <f t="shared" si="20"/>
        <v>0</v>
      </c>
      <c r="BQ31" s="89">
        <f t="shared" si="42"/>
        <v>7.1899999999999992E-2</v>
      </c>
      <c r="BR31" s="23">
        <f>BR$5+SUM(BS$5:BS30)+SUM(R$5:R30)-SUM(S$5:S30)+SUM(BV$5:BV30)</f>
        <v>300000</v>
      </c>
      <c r="BS31" s="22">
        <f t="shared" si="49"/>
        <v>0</v>
      </c>
      <c r="BT31" s="22">
        <f t="shared" si="50"/>
        <v>0</v>
      </c>
      <c r="BU31" s="22">
        <f>IF(U31&lt;0,PMT(BQ31/12,Dane_kredytowe!F$13-SUM(AB$5:AB31)+1,BR31),0)</f>
        <v>0</v>
      </c>
      <c r="BV31" s="22">
        <f t="shared" si="43"/>
        <v>0</v>
      </c>
      <c r="BX31" s="23">
        <f>BX$5+SUM(BZ$5:BZ30)+SUM(R$5:R30)-SUM(S$5:S30)+SUM(CB$5,CB30)</f>
        <v>300000</v>
      </c>
      <c r="BY31" s="22">
        <f t="shared" si="21"/>
        <v>0</v>
      </c>
      <c r="BZ31" s="22">
        <f t="shared" si="22"/>
        <v>0</v>
      </c>
      <c r="CA31" s="22">
        <f t="shared" si="51"/>
        <v>0</v>
      </c>
      <c r="CB31" s="22">
        <f t="shared" si="52"/>
        <v>0</v>
      </c>
      <c r="CD31" s="22">
        <f>CD$5+SUM(CE$5:CE30)+SUM(R$5:R30)-SUM(S$5:S30)-SUM(CF$5:CF30)</f>
        <v>300000</v>
      </c>
      <c r="CE31" s="22">
        <f t="shared" si="44"/>
        <v>0</v>
      </c>
      <c r="CF31" s="22">
        <f t="shared" si="23"/>
        <v>0</v>
      </c>
      <c r="CG31" s="22">
        <f t="shared" si="45"/>
        <v>0</v>
      </c>
      <c r="CI31" s="89">
        <f t="shared" si="24"/>
        <v>0.91390000000000005</v>
      </c>
      <c r="CJ31" s="22">
        <f t="shared" si="25"/>
        <v>0</v>
      </c>
      <c r="CK31" s="15">
        <f t="shared" si="46"/>
        <v>0</v>
      </c>
      <c r="CM31" s="22">
        <f t="shared" si="47"/>
        <v>0</v>
      </c>
      <c r="CN31" s="15">
        <f t="shared" si="53"/>
        <v>0</v>
      </c>
    </row>
    <row r="32" spans="1:92">
      <c r="A32" s="25"/>
      <c r="B32" s="80">
        <v>38078</v>
      </c>
      <c r="C32" s="81">
        <f t="shared" si="0"/>
        <v>3.0602</v>
      </c>
      <c r="D32" s="82">
        <f t="shared" si="48"/>
        <v>3.1520060000000001</v>
      </c>
      <c r="E32" s="73">
        <f t="shared" si="26"/>
        <v>0</v>
      </c>
      <c r="F32" s="19">
        <f t="shared" si="27"/>
        <v>0</v>
      </c>
      <c r="G32" s="19">
        <f t="shared" si="28"/>
        <v>0</v>
      </c>
      <c r="H32" s="19">
        <f t="shared" si="29"/>
        <v>0</v>
      </c>
      <c r="I32" s="62"/>
      <c r="J32" s="15" t="str">
        <f t="shared" si="30"/>
        <v xml:space="preserve"> </v>
      </c>
      <c r="K32" s="15">
        <f>IF(B32&lt;=Dane_kredytowe!F$9,0,K31+1)</f>
        <v>0</v>
      </c>
      <c r="L32" s="83">
        <f t="shared" si="1"/>
        <v>2.5000000000000001E-3</v>
      </c>
      <c r="M32" s="84">
        <f>L32+Dane_kredytowe!F$12</f>
        <v>3.2500000000000001E-2</v>
      </c>
      <c r="N32" s="79">
        <f>MAX(Dane_kredytowe!F$17+SUM(AA$5:AA31)-SUM(X$5:X32)+SUM(W$5:W32),0)</f>
        <v>95134.46</v>
      </c>
      <c r="O32" s="85">
        <f>MAX(Dane_kredytowe!F$8+SUM(V$5:V31)-SUM(S$5:S32)+SUM(R$5:R31),0)</f>
        <v>300000</v>
      </c>
      <c r="P32" s="67">
        <f t="shared" si="31"/>
        <v>360</v>
      </c>
      <c r="Q32" s="127" t="str">
        <f>IF(AND(K32&gt;0,K32&lt;=Dane_kredytowe!F$16),"tak","nie")</f>
        <v>nie</v>
      </c>
      <c r="R32" s="69"/>
      <c r="S32" s="86">
        <f>IF(Dane_kredytowe!F$19=B32,O31+V31,_xlfn.XLOOKUP(B32,Dane_kredytowe!M$9:M$18,Dane_kredytowe!N$9:N$18,0))</f>
        <v>0</v>
      </c>
      <c r="T32" s="71">
        <f t="shared" si="2"/>
        <v>0</v>
      </c>
      <c r="U32" s="72">
        <f>IF(Q32="tak",T32,IF(P32-SUM(AB$5:AB32)+1&gt;0,IF(Dane_kredytowe!F$9&lt;B32,IF(SUM(AB$5:AB32)-Dane_kredytowe!F$16+1&gt;0,PMT(M32/12,P32+1-SUM(AB$5:AB32),O32),T32),0),0))</f>
        <v>0</v>
      </c>
      <c r="V32" s="72">
        <f t="shared" si="32"/>
        <v>0</v>
      </c>
      <c r="W32" s="19" t="str">
        <f t="shared" si="33"/>
        <v xml:space="preserve"> </v>
      </c>
      <c r="X32" s="19">
        <f t="shared" si="3"/>
        <v>0</v>
      </c>
      <c r="Y32" s="73">
        <f t="shared" si="4"/>
        <v>0</v>
      </c>
      <c r="Z32" s="19">
        <f>IF(P32-SUM(AB$5:AB32)+1&gt;0,IF(Dane_kredytowe!F$9&lt;B32,IF(SUM(AB$5:AB32)-Dane_kredytowe!F$16+1&gt;0,PMT(M32/12,P32+1-SUM(AB$5:AB32),N32),Y32),0),0)</f>
        <v>0</v>
      </c>
      <c r="AA32" s="19">
        <f t="shared" si="34"/>
        <v>0</v>
      </c>
      <c r="AB32" s="20" t="str">
        <f>IF(AND(Dane_kredytowe!F$9&lt;B32,SUM(AB$5:AB31)&lt;P31),1," ")</f>
        <v xml:space="preserve"> </v>
      </c>
      <c r="AD32" s="75">
        <f>IF(OR(B32&lt;Dane_kredytowe!F$15,Dane_kredytowe!F$15=""),-F32+S32,0)</f>
        <v>0</v>
      </c>
      <c r="AE32" s="75">
        <f t="shared" si="5"/>
        <v>0</v>
      </c>
      <c r="AG32" s="22">
        <f>Dane_kredytowe!F$17-SUM(AI$5:AI31)+SUM(W32:W$42)-SUM(X32:X$42)</f>
        <v>95134.46</v>
      </c>
      <c r="AH32" s="22">
        <f t="shared" si="6"/>
        <v>0</v>
      </c>
      <c r="AI32" s="22">
        <f t="shared" si="7"/>
        <v>0</v>
      </c>
      <c r="AJ32" s="22">
        <f t="shared" si="35"/>
        <v>0</v>
      </c>
      <c r="AK32" s="22">
        <f t="shared" si="8"/>
        <v>0</v>
      </c>
      <c r="AL32" s="22">
        <f>Dane_kredytowe!F$8-SUM(AN$5:AN31)+SUM(R31:R$42)-SUM(S32:S$42)</f>
        <v>300000</v>
      </c>
      <c r="AM32" s="22">
        <f t="shared" si="9"/>
        <v>0</v>
      </c>
      <c r="AN32" s="22">
        <f t="shared" si="10"/>
        <v>0</v>
      </c>
      <c r="AO32" s="22">
        <f t="shared" si="36"/>
        <v>0</v>
      </c>
      <c r="AP32" s="22">
        <f t="shared" si="37"/>
        <v>0</v>
      </c>
      <c r="AR32" s="87">
        <f t="shared" si="11"/>
        <v>38078</v>
      </c>
      <c r="AS32" s="23">
        <f>AS$5+SUM(AV$5:AV31)-SUM(X$5:X32)+SUM(W$5:W32)</f>
        <v>139056.27143784185</v>
      </c>
      <c r="AT32" s="22">
        <f t="shared" si="12"/>
        <v>0</v>
      </c>
      <c r="AU32" s="22">
        <f>IF(AB32=1,IF(Q32="tak",AT32,PMT(M32/12,P32+1-SUM(AB$5:AB32),AS32)),0)</f>
        <v>0</v>
      </c>
      <c r="AV32" s="22">
        <f t="shared" si="38"/>
        <v>0</v>
      </c>
      <c r="AW32" s="22">
        <f t="shared" si="13"/>
        <v>0</v>
      </c>
      <c r="AY32" s="23">
        <f>AY$5+SUM(BA$5:BA31)+SUM(W$5:W31)-SUM(X$5:X31)</f>
        <v>139056.27143784185</v>
      </c>
      <c r="AZ32" s="23">
        <f t="shared" si="14"/>
        <v>0</v>
      </c>
      <c r="BA32" s="23">
        <f t="shared" si="15"/>
        <v>0</v>
      </c>
      <c r="BB32" s="23">
        <f t="shared" si="39"/>
        <v>0</v>
      </c>
      <c r="BC32" s="23">
        <f t="shared" si="16"/>
        <v>0</v>
      </c>
      <c r="BE32" s="88">
        <f t="shared" si="17"/>
        <v>5.5E-2</v>
      </c>
      <c r="BF32" s="89">
        <f>BE32+Dane_kredytowe!F$12</f>
        <v>8.4999999999999992E-2</v>
      </c>
      <c r="BG32" s="23">
        <f>BG$5+SUM(BH$5:BH31)+SUM(R$5:R31)-SUM(S$5:S31)</f>
        <v>300000</v>
      </c>
      <c r="BH32" s="22">
        <f t="shared" si="40"/>
        <v>0</v>
      </c>
      <c r="BI32" s="22">
        <f t="shared" si="41"/>
        <v>0</v>
      </c>
      <c r="BJ32" s="22">
        <f>IF(U32&lt;0,PMT(BF32/12,Dane_kredytowe!F$13-SUM(AB$5:AB32)+1,BG32),0)</f>
        <v>0</v>
      </c>
      <c r="BL32" s="23">
        <f>BL$5+SUM(BN$5:BN31)+SUM(R$5:R31)-SUM(S$5:S31)</f>
        <v>300000</v>
      </c>
      <c r="BM32" s="23">
        <f t="shared" si="18"/>
        <v>0</v>
      </c>
      <c r="BN32" s="23">
        <f t="shared" si="19"/>
        <v>0</v>
      </c>
      <c r="BO32" s="23">
        <f t="shared" si="20"/>
        <v>0</v>
      </c>
      <c r="BQ32" s="89">
        <f t="shared" si="42"/>
        <v>7.17E-2</v>
      </c>
      <c r="BR32" s="23">
        <f>BR$5+SUM(BS$5:BS31)+SUM(R$5:R31)-SUM(S$5:S31)+SUM(BV$5:BV31)</f>
        <v>300000</v>
      </c>
      <c r="BS32" s="22">
        <f t="shared" si="49"/>
        <v>0</v>
      </c>
      <c r="BT32" s="22">
        <f t="shared" si="50"/>
        <v>0</v>
      </c>
      <c r="BU32" s="22">
        <f>IF(U32&lt;0,PMT(BQ32/12,Dane_kredytowe!F$13-SUM(AB$5:AB32)+1,BR32),0)</f>
        <v>0</v>
      </c>
      <c r="BV32" s="22">
        <f t="shared" si="43"/>
        <v>0</v>
      </c>
      <c r="BX32" s="23">
        <f>BX$5+SUM(BZ$5:BZ31)+SUM(R$5:R31)-SUM(S$5:S31)+SUM(CB$5,CB31)</f>
        <v>300000</v>
      </c>
      <c r="BY32" s="22">
        <f t="shared" si="21"/>
        <v>0</v>
      </c>
      <c r="BZ32" s="22">
        <f t="shared" si="22"/>
        <v>0</v>
      </c>
      <c r="CA32" s="22">
        <f t="shared" si="51"/>
        <v>0</v>
      </c>
      <c r="CB32" s="22">
        <f t="shared" si="52"/>
        <v>0</v>
      </c>
      <c r="CD32" s="22">
        <f>CD$5+SUM(CE$5:CE31)+SUM(R$5:R31)-SUM(S$5:S31)-SUM(CF$5:CF31)</f>
        <v>300000</v>
      </c>
      <c r="CE32" s="22">
        <f t="shared" si="44"/>
        <v>0</v>
      </c>
      <c r="CF32" s="22">
        <f t="shared" si="23"/>
        <v>0</v>
      </c>
      <c r="CG32" s="22">
        <f t="shared" si="45"/>
        <v>0</v>
      </c>
      <c r="CI32" s="89">
        <f t="shared" si="24"/>
        <v>0.89870000000000005</v>
      </c>
      <c r="CJ32" s="22">
        <f t="shared" si="25"/>
        <v>0</v>
      </c>
      <c r="CK32" s="15">
        <f t="shared" si="46"/>
        <v>0</v>
      </c>
      <c r="CM32" s="22">
        <f t="shared" si="47"/>
        <v>0</v>
      </c>
      <c r="CN32" s="15">
        <f t="shared" si="53"/>
        <v>0</v>
      </c>
    </row>
    <row r="33" spans="1:92">
      <c r="A33" s="25"/>
      <c r="B33" s="80">
        <v>38108</v>
      </c>
      <c r="C33" s="81">
        <f t="shared" si="0"/>
        <v>3.0695000000000001</v>
      </c>
      <c r="D33" s="82">
        <f t="shared" si="48"/>
        <v>3.1615850000000001</v>
      </c>
      <c r="E33" s="73">
        <f t="shared" si="26"/>
        <v>0</v>
      </c>
      <c r="F33" s="19">
        <f t="shared" si="27"/>
        <v>0</v>
      </c>
      <c r="G33" s="19">
        <f t="shared" si="28"/>
        <v>0</v>
      </c>
      <c r="H33" s="19">
        <f t="shared" si="29"/>
        <v>0</v>
      </c>
      <c r="I33" s="62"/>
      <c r="J33" s="15" t="str">
        <f t="shared" si="30"/>
        <v xml:space="preserve"> </v>
      </c>
      <c r="K33" s="15">
        <f>IF(B33&lt;=Dane_kredytowe!F$9,0,K32+1)</f>
        <v>0</v>
      </c>
      <c r="L33" s="83">
        <f t="shared" si="1"/>
        <v>2.7169999999999998E-3</v>
      </c>
      <c r="M33" s="84">
        <f>L33+Dane_kredytowe!F$12</f>
        <v>3.2716999999999996E-2</v>
      </c>
      <c r="N33" s="79">
        <f>MAX(Dane_kredytowe!F$17+SUM(AA$5:AA32)-SUM(X$5:X33)+SUM(W$5:W33),0)</f>
        <v>95134.46</v>
      </c>
      <c r="O33" s="85">
        <f>MAX(Dane_kredytowe!F$8+SUM(V$5:V32)-SUM(S$5:S33)+SUM(R$5:R32),0)</f>
        <v>300000</v>
      </c>
      <c r="P33" s="67">
        <f t="shared" si="31"/>
        <v>360</v>
      </c>
      <c r="Q33" s="127" t="str">
        <f>IF(AND(K33&gt;0,K33&lt;=Dane_kredytowe!F$16),"tak","nie")</f>
        <v>nie</v>
      </c>
      <c r="R33" s="69"/>
      <c r="S33" s="86">
        <f>IF(Dane_kredytowe!F$19=B33,O32+V32,_xlfn.XLOOKUP(B33,Dane_kredytowe!M$9:M$18,Dane_kredytowe!N$9:N$18,0))</f>
        <v>0</v>
      </c>
      <c r="T33" s="71">
        <f t="shared" si="2"/>
        <v>0</v>
      </c>
      <c r="U33" s="72">
        <f>IF(Q33="tak",T33,IF(P33-SUM(AB$5:AB33)+1&gt;0,IF(Dane_kredytowe!F$9&lt;B33,IF(SUM(AB$5:AB33)-Dane_kredytowe!F$16+1&gt;0,PMT(M33/12,P33+1-SUM(AB$5:AB33),O33),T33),0),0))</f>
        <v>0</v>
      </c>
      <c r="V33" s="72">
        <f t="shared" si="32"/>
        <v>0</v>
      </c>
      <c r="W33" s="19" t="str">
        <f t="shared" si="33"/>
        <v xml:space="preserve"> </v>
      </c>
      <c r="X33" s="19">
        <f t="shared" si="3"/>
        <v>0</v>
      </c>
      <c r="Y33" s="73">
        <f t="shared" si="4"/>
        <v>0</v>
      </c>
      <c r="Z33" s="19">
        <f>IF(P33-SUM(AB$5:AB33)+1&gt;0,IF(Dane_kredytowe!F$9&lt;B33,IF(SUM(AB$5:AB33)-Dane_kredytowe!F$16+1&gt;0,PMT(M33/12,P33+1-SUM(AB$5:AB33),N33),Y33),0),0)</f>
        <v>0</v>
      </c>
      <c r="AA33" s="19">
        <f t="shared" si="34"/>
        <v>0</v>
      </c>
      <c r="AB33" s="20" t="str">
        <f>IF(AND(Dane_kredytowe!F$9&lt;B33,SUM(AB$5:AB32)&lt;P32),1," ")</f>
        <v xml:space="preserve"> </v>
      </c>
      <c r="AD33" s="75">
        <f>IF(OR(B33&lt;Dane_kredytowe!F$15,Dane_kredytowe!F$15=""),-F33+S33,0)</f>
        <v>0</v>
      </c>
      <c r="AE33" s="75">
        <f t="shared" si="5"/>
        <v>0</v>
      </c>
      <c r="AG33" s="22">
        <f>Dane_kredytowe!F$17-SUM(AI$5:AI32)+SUM(W33:W$42)-SUM(X33:X$42)</f>
        <v>95134.46</v>
      </c>
      <c r="AH33" s="22">
        <f t="shared" si="6"/>
        <v>0</v>
      </c>
      <c r="AI33" s="22">
        <f t="shared" si="7"/>
        <v>0</v>
      </c>
      <c r="AJ33" s="22">
        <f t="shared" si="35"/>
        <v>0</v>
      </c>
      <c r="AK33" s="22">
        <f t="shared" si="8"/>
        <v>0</v>
      </c>
      <c r="AL33" s="22">
        <f>Dane_kredytowe!F$8-SUM(AN$5:AN32)+SUM(R32:R$42)-SUM(S33:S$42)</f>
        <v>300000</v>
      </c>
      <c r="AM33" s="22">
        <f t="shared" si="9"/>
        <v>0</v>
      </c>
      <c r="AN33" s="22">
        <f t="shared" si="10"/>
        <v>0</v>
      </c>
      <c r="AO33" s="22">
        <f t="shared" si="36"/>
        <v>0</v>
      </c>
      <c r="AP33" s="22">
        <f t="shared" si="37"/>
        <v>0</v>
      </c>
      <c r="AR33" s="87">
        <f t="shared" si="11"/>
        <v>38108</v>
      </c>
      <c r="AS33" s="23">
        <f>AS$5+SUM(AV$5:AV32)-SUM(X$5:X33)+SUM(W$5:W33)</f>
        <v>139056.27143784185</v>
      </c>
      <c r="AT33" s="22">
        <f t="shared" si="12"/>
        <v>0</v>
      </c>
      <c r="AU33" s="22">
        <f>IF(AB33=1,IF(Q33="tak",AT33,PMT(M33/12,P33+1-SUM(AB$5:AB33),AS33)),0)</f>
        <v>0</v>
      </c>
      <c r="AV33" s="22">
        <f t="shared" si="38"/>
        <v>0</v>
      </c>
      <c r="AW33" s="22">
        <f t="shared" si="13"/>
        <v>0</v>
      </c>
      <c r="AY33" s="23">
        <f>AY$5+SUM(BA$5:BA32)+SUM(W$5:W32)-SUM(X$5:X32)</f>
        <v>139056.27143784185</v>
      </c>
      <c r="AZ33" s="23">
        <f t="shared" si="14"/>
        <v>0</v>
      </c>
      <c r="BA33" s="23">
        <f t="shared" si="15"/>
        <v>0</v>
      </c>
      <c r="BB33" s="23">
        <f t="shared" si="39"/>
        <v>0</v>
      </c>
      <c r="BC33" s="23">
        <f t="shared" si="16"/>
        <v>0</v>
      </c>
      <c r="BE33" s="88">
        <f t="shared" si="17"/>
        <v>5.91E-2</v>
      </c>
      <c r="BF33" s="89">
        <f>BE33+Dane_kredytowe!F$12</f>
        <v>8.9099999999999999E-2</v>
      </c>
      <c r="BG33" s="23">
        <f>BG$5+SUM(BH$5:BH32)+SUM(R$5:R32)-SUM(S$5:S32)</f>
        <v>300000</v>
      </c>
      <c r="BH33" s="22">
        <f t="shared" si="40"/>
        <v>0</v>
      </c>
      <c r="BI33" s="22">
        <f t="shared" si="41"/>
        <v>0</v>
      </c>
      <c r="BJ33" s="22">
        <f>IF(U33&lt;0,PMT(BF33/12,Dane_kredytowe!F$13-SUM(AB$5:AB33)+1,BG33),0)</f>
        <v>0</v>
      </c>
      <c r="BL33" s="23">
        <f>BL$5+SUM(BN$5:BN32)+SUM(R$5:R32)-SUM(S$5:S32)</f>
        <v>300000</v>
      </c>
      <c r="BM33" s="23">
        <f t="shared" si="18"/>
        <v>0</v>
      </c>
      <c r="BN33" s="23">
        <f t="shared" si="19"/>
        <v>0</v>
      </c>
      <c r="BO33" s="23">
        <f t="shared" si="20"/>
        <v>0</v>
      </c>
      <c r="BQ33" s="89">
        <f t="shared" si="42"/>
        <v>7.5800000000000006E-2</v>
      </c>
      <c r="BR33" s="23">
        <f>BR$5+SUM(BS$5:BS32)+SUM(R$5:R32)-SUM(S$5:S32)+SUM(BV$5:BV32)</f>
        <v>300000</v>
      </c>
      <c r="BS33" s="22">
        <f t="shared" si="49"/>
        <v>0</v>
      </c>
      <c r="BT33" s="22">
        <f t="shared" si="50"/>
        <v>0</v>
      </c>
      <c r="BU33" s="22">
        <f>IF(U33&lt;0,PMT(BQ33/12,Dane_kredytowe!F$13-SUM(AB$5:AB33)+1,BR33),0)</f>
        <v>0</v>
      </c>
      <c r="BV33" s="22">
        <f t="shared" si="43"/>
        <v>0</v>
      </c>
      <c r="BX33" s="23">
        <f>BX$5+SUM(BZ$5:BZ32)+SUM(R$5:R32)-SUM(S$5:S32)+SUM(CB$5,CB32)</f>
        <v>300000</v>
      </c>
      <c r="BY33" s="22">
        <f t="shared" si="21"/>
        <v>0</v>
      </c>
      <c r="BZ33" s="22">
        <f t="shared" si="22"/>
        <v>0</v>
      </c>
      <c r="CA33" s="22">
        <f t="shared" si="51"/>
        <v>0</v>
      </c>
      <c r="CB33" s="22">
        <f t="shared" si="52"/>
        <v>0</v>
      </c>
      <c r="CD33" s="22">
        <f>CD$5+SUM(CE$5:CE32)+SUM(R$5:R32)-SUM(S$5:S32)-SUM(CF$5:CF32)</f>
        <v>300000</v>
      </c>
      <c r="CE33" s="22">
        <f t="shared" si="44"/>
        <v>0</v>
      </c>
      <c r="CF33" s="22">
        <f t="shared" si="23"/>
        <v>0</v>
      </c>
      <c r="CG33" s="22">
        <f t="shared" si="45"/>
        <v>0</v>
      </c>
      <c r="CI33" s="89">
        <f t="shared" si="24"/>
        <v>0.87990000000000002</v>
      </c>
      <c r="CJ33" s="22">
        <f t="shared" si="25"/>
        <v>0</v>
      </c>
      <c r="CK33" s="15">
        <f t="shared" si="46"/>
        <v>0</v>
      </c>
      <c r="CM33" s="22">
        <f t="shared" si="47"/>
        <v>0</v>
      </c>
      <c r="CN33" s="15">
        <f t="shared" si="53"/>
        <v>0</v>
      </c>
    </row>
    <row r="34" spans="1:92">
      <c r="A34" s="25"/>
      <c r="B34" s="80">
        <v>38139</v>
      </c>
      <c r="C34" s="81">
        <f t="shared" si="0"/>
        <v>3.0251999999999999</v>
      </c>
      <c r="D34" s="82">
        <f t="shared" si="48"/>
        <v>3.1159560000000002</v>
      </c>
      <c r="E34" s="73">
        <f t="shared" si="26"/>
        <v>0</v>
      </c>
      <c r="F34" s="19">
        <f t="shared" si="27"/>
        <v>0</v>
      </c>
      <c r="G34" s="19">
        <f t="shared" si="28"/>
        <v>0</v>
      </c>
      <c r="H34" s="19">
        <f t="shared" si="29"/>
        <v>0</v>
      </c>
      <c r="I34" s="62"/>
      <c r="J34" s="15" t="str">
        <f t="shared" si="30"/>
        <v xml:space="preserve"> </v>
      </c>
      <c r="K34" s="15">
        <f>IF(B34&lt;=Dane_kredytowe!F$9,0,K33+1)</f>
        <v>0</v>
      </c>
      <c r="L34" s="83">
        <f t="shared" si="1"/>
        <v>2.5999999999999999E-3</v>
      </c>
      <c r="M34" s="84">
        <f>L34+Dane_kredytowe!F$12</f>
        <v>3.2599999999999997E-2</v>
      </c>
      <c r="N34" s="79">
        <f>MAX(Dane_kredytowe!F$17+SUM(AA$5:AA33)-SUM(X$5:X34)+SUM(W$5:W34),0)</f>
        <v>95134.46</v>
      </c>
      <c r="O34" s="85">
        <f>MAX(Dane_kredytowe!F$8+SUM(V$5:V33)-SUM(S$5:S34)+SUM(R$5:R33),0)</f>
        <v>300000</v>
      </c>
      <c r="P34" s="67">
        <f t="shared" si="31"/>
        <v>360</v>
      </c>
      <c r="Q34" s="127" t="str">
        <f>IF(AND(K34&gt;0,K34&lt;=Dane_kredytowe!F$16),"tak","nie")</f>
        <v>nie</v>
      </c>
      <c r="R34" s="69"/>
      <c r="S34" s="86">
        <f>IF(Dane_kredytowe!F$19=B34,O33+V33,_xlfn.XLOOKUP(B34,Dane_kredytowe!M$9:M$18,Dane_kredytowe!N$9:N$18,0))</f>
        <v>0</v>
      </c>
      <c r="T34" s="71">
        <f t="shared" si="2"/>
        <v>0</v>
      </c>
      <c r="U34" s="72">
        <f>IF(Q34="tak",T34,IF(P34-SUM(AB$5:AB34)+1&gt;0,IF(Dane_kredytowe!F$9&lt;B34,IF(SUM(AB$5:AB34)-Dane_kredytowe!F$16+1&gt;0,PMT(M34/12,P34+1-SUM(AB$5:AB34),O34),T34),0),0))</f>
        <v>0</v>
      </c>
      <c r="V34" s="72">
        <f t="shared" si="32"/>
        <v>0</v>
      </c>
      <c r="W34" s="19" t="str">
        <f t="shared" si="33"/>
        <v xml:space="preserve"> </v>
      </c>
      <c r="X34" s="19">
        <f t="shared" si="3"/>
        <v>0</v>
      </c>
      <c r="Y34" s="73">
        <f t="shared" si="4"/>
        <v>0</v>
      </c>
      <c r="Z34" s="19">
        <f>IF(P34-SUM(AB$5:AB34)+1&gt;0,IF(Dane_kredytowe!F$9&lt;B34,IF(SUM(AB$5:AB34)-Dane_kredytowe!F$16+1&gt;0,PMT(M34/12,P34+1-SUM(AB$5:AB34),N34),Y34),0),0)</f>
        <v>0</v>
      </c>
      <c r="AA34" s="19">
        <f t="shared" si="34"/>
        <v>0</v>
      </c>
      <c r="AB34" s="20" t="str">
        <f>IF(AND(Dane_kredytowe!F$9&lt;B34,SUM(AB$5:AB33)&lt;P33),1," ")</f>
        <v xml:space="preserve"> </v>
      </c>
      <c r="AD34" s="75">
        <f>IF(OR(B34&lt;Dane_kredytowe!F$15,Dane_kredytowe!F$15=""),-F34+S34,0)</f>
        <v>0</v>
      </c>
      <c r="AE34" s="75">
        <f t="shared" si="5"/>
        <v>0</v>
      </c>
      <c r="AG34" s="22">
        <f>Dane_kredytowe!F$17-SUM(AI$5:AI33)+SUM(W34:W$42)-SUM(X34:X$42)</f>
        <v>95134.46</v>
      </c>
      <c r="AH34" s="22">
        <f t="shared" si="6"/>
        <v>0</v>
      </c>
      <c r="AI34" s="22">
        <f t="shared" si="7"/>
        <v>0</v>
      </c>
      <c r="AJ34" s="22">
        <f t="shared" si="35"/>
        <v>0</v>
      </c>
      <c r="AK34" s="22">
        <f t="shared" si="8"/>
        <v>0</v>
      </c>
      <c r="AL34" s="22">
        <f>Dane_kredytowe!F$8-SUM(AN$5:AN33)+SUM(R33:R$42)-SUM(S34:S$42)</f>
        <v>300000</v>
      </c>
      <c r="AM34" s="22">
        <f t="shared" si="9"/>
        <v>0</v>
      </c>
      <c r="AN34" s="22">
        <f t="shared" si="10"/>
        <v>0</v>
      </c>
      <c r="AO34" s="22">
        <f t="shared" si="36"/>
        <v>0</v>
      </c>
      <c r="AP34" s="22">
        <f t="shared" si="37"/>
        <v>0</v>
      </c>
      <c r="AR34" s="87">
        <f t="shared" si="11"/>
        <v>38139</v>
      </c>
      <c r="AS34" s="23">
        <f>AS$5+SUM(AV$5:AV33)-SUM(X$5:X34)+SUM(W$5:W34)</f>
        <v>139056.27143784185</v>
      </c>
      <c r="AT34" s="22">
        <f t="shared" si="12"/>
        <v>0</v>
      </c>
      <c r="AU34" s="22">
        <f>IF(AB34=1,IF(Q34="tak",AT34,PMT(M34/12,P34+1-SUM(AB$5:AB34),AS34)),0)</f>
        <v>0</v>
      </c>
      <c r="AV34" s="22">
        <f t="shared" si="38"/>
        <v>0</v>
      </c>
      <c r="AW34" s="22">
        <f t="shared" si="13"/>
        <v>0</v>
      </c>
      <c r="AY34" s="23">
        <f>AY$5+SUM(BA$5:BA33)+SUM(W$5:W33)-SUM(X$5:X33)</f>
        <v>139056.27143784185</v>
      </c>
      <c r="AZ34" s="23">
        <f t="shared" si="14"/>
        <v>0</v>
      </c>
      <c r="BA34" s="23">
        <f t="shared" si="15"/>
        <v>0</v>
      </c>
      <c r="BB34" s="23">
        <f t="shared" si="39"/>
        <v>0</v>
      </c>
      <c r="BC34" s="23">
        <f t="shared" si="16"/>
        <v>0</v>
      </c>
      <c r="BE34" s="88">
        <f t="shared" si="17"/>
        <v>5.9499999999999997E-2</v>
      </c>
      <c r="BF34" s="89">
        <f>BE34+Dane_kredytowe!F$12</f>
        <v>8.9499999999999996E-2</v>
      </c>
      <c r="BG34" s="23">
        <f>BG$5+SUM(BH$5:BH33)+SUM(R$5:R33)-SUM(S$5:S33)</f>
        <v>300000</v>
      </c>
      <c r="BH34" s="22">
        <f t="shared" si="40"/>
        <v>0</v>
      </c>
      <c r="BI34" s="22">
        <f t="shared" si="41"/>
        <v>0</v>
      </c>
      <c r="BJ34" s="22">
        <f>IF(U34&lt;0,PMT(BF34/12,Dane_kredytowe!F$13-SUM(AB$5:AB34)+1,BG34),0)</f>
        <v>0</v>
      </c>
      <c r="BL34" s="23">
        <f>BL$5+SUM(BN$5:BN33)+SUM(R$5:R33)-SUM(S$5:S33)</f>
        <v>300000</v>
      </c>
      <c r="BM34" s="23">
        <f t="shared" si="18"/>
        <v>0</v>
      </c>
      <c r="BN34" s="23">
        <f t="shared" si="19"/>
        <v>0</v>
      </c>
      <c r="BO34" s="23">
        <f t="shared" si="20"/>
        <v>0</v>
      </c>
      <c r="BQ34" s="89">
        <f t="shared" si="42"/>
        <v>7.619999999999999E-2</v>
      </c>
      <c r="BR34" s="23">
        <f>BR$5+SUM(BS$5:BS33)+SUM(R$5:R33)-SUM(S$5:S33)+SUM(BV$5:BV33)</f>
        <v>300000</v>
      </c>
      <c r="BS34" s="22">
        <f t="shared" si="49"/>
        <v>0</v>
      </c>
      <c r="BT34" s="22">
        <f t="shared" si="50"/>
        <v>0</v>
      </c>
      <c r="BU34" s="22">
        <f>IF(U34&lt;0,PMT(BQ34/12,Dane_kredytowe!F$13-SUM(AB$5:AB34)+1,BR34),0)</f>
        <v>0</v>
      </c>
      <c r="BV34" s="22">
        <f t="shared" si="43"/>
        <v>0</v>
      </c>
      <c r="BX34" s="23">
        <f>BX$5+SUM(BZ$5:BZ33)+SUM(R$5:R33)-SUM(S$5:S33)+SUM(CB$5,CB33)</f>
        <v>300000</v>
      </c>
      <c r="BY34" s="22">
        <f t="shared" si="21"/>
        <v>0</v>
      </c>
      <c r="BZ34" s="22">
        <f t="shared" si="22"/>
        <v>0</v>
      </c>
      <c r="CA34" s="22">
        <f t="shared" si="51"/>
        <v>0</v>
      </c>
      <c r="CB34" s="22">
        <f t="shared" si="52"/>
        <v>0</v>
      </c>
      <c r="CD34" s="22">
        <f>CD$5+SUM(CE$5:CE33)+SUM(R$5:R33)-SUM(S$5:S33)-SUM(CF$5:CF33)</f>
        <v>300000</v>
      </c>
      <c r="CE34" s="22">
        <f t="shared" si="44"/>
        <v>0</v>
      </c>
      <c r="CF34" s="22">
        <f t="shared" si="23"/>
        <v>0</v>
      </c>
      <c r="CG34" s="22">
        <f t="shared" si="45"/>
        <v>0</v>
      </c>
      <c r="CI34" s="89">
        <f t="shared" si="24"/>
        <v>0.86319999999999997</v>
      </c>
      <c r="CJ34" s="22">
        <f t="shared" si="25"/>
        <v>0</v>
      </c>
      <c r="CK34" s="15">
        <f t="shared" si="46"/>
        <v>0</v>
      </c>
      <c r="CM34" s="22">
        <f t="shared" si="47"/>
        <v>0</v>
      </c>
      <c r="CN34" s="15">
        <f t="shared" si="53"/>
        <v>0</v>
      </c>
    </row>
    <row r="35" spans="1:92">
      <c r="A35" s="25"/>
      <c r="B35" s="80">
        <v>38169</v>
      </c>
      <c r="C35" s="81">
        <f t="shared" si="0"/>
        <v>2.9270999999999998</v>
      </c>
      <c r="D35" s="82">
        <f t="shared" si="48"/>
        <v>3.014913</v>
      </c>
      <c r="E35" s="73">
        <f t="shared" si="26"/>
        <v>0</v>
      </c>
      <c r="F35" s="19">
        <f t="shared" si="27"/>
        <v>0</v>
      </c>
      <c r="G35" s="19">
        <f t="shared" si="28"/>
        <v>0</v>
      </c>
      <c r="H35" s="19">
        <f t="shared" si="29"/>
        <v>0</v>
      </c>
      <c r="I35" s="62"/>
      <c r="J35" s="15" t="str">
        <f t="shared" si="30"/>
        <v xml:space="preserve"> </v>
      </c>
      <c r="K35" s="15">
        <f>IF(B35&lt;=Dane_kredytowe!F$9,0,K34+1)</f>
        <v>0</v>
      </c>
      <c r="L35" s="83">
        <f t="shared" si="1"/>
        <v>4.9670000000000001E-3</v>
      </c>
      <c r="M35" s="84">
        <f>L35+Dane_kredytowe!F$12</f>
        <v>3.4966999999999998E-2</v>
      </c>
      <c r="N35" s="79">
        <f>MAX(Dane_kredytowe!F$17+SUM(AA$5:AA34)-SUM(X$5:X35)+SUM(W$5:W35),0)</f>
        <v>95134.46</v>
      </c>
      <c r="O35" s="85">
        <f>MAX(Dane_kredytowe!F$8+SUM(V$5:V34)-SUM(S$5:S35)+SUM(R$5:R34),0)</f>
        <v>300000</v>
      </c>
      <c r="P35" s="67">
        <f t="shared" si="31"/>
        <v>360</v>
      </c>
      <c r="Q35" s="127" t="str">
        <f>IF(AND(K35&gt;0,K35&lt;=Dane_kredytowe!F$16),"tak","nie")</f>
        <v>nie</v>
      </c>
      <c r="R35" s="69"/>
      <c r="S35" s="86">
        <f>IF(Dane_kredytowe!F$19=B35,O34+V34,_xlfn.XLOOKUP(B35,Dane_kredytowe!M$9:M$18,Dane_kredytowe!N$9:N$18,0))</f>
        <v>0</v>
      </c>
      <c r="T35" s="71">
        <f t="shared" si="2"/>
        <v>0</v>
      </c>
      <c r="U35" s="72">
        <f>IF(Q35="tak",T35,IF(P35-SUM(AB$5:AB35)+1&gt;0,IF(Dane_kredytowe!F$9&lt;B35,IF(SUM(AB$5:AB35)-Dane_kredytowe!F$16+1&gt;0,PMT(M35/12,P35+1-SUM(AB$5:AB35),O35),T35),0),0))</f>
        <v>0</v>
      </c>
      <c r="V35" s="72">
        <f t="shared" si="32"/>
        <v>0</v>
      </c>
      <c r="W35" s="19" t="str">
        <f t="shared" si="33"/>
        <v xml:space="preserve"> </v>
      </c>
      <c r="X35" s="19">
        <f t="shared" si="3"/>
        <v>0</v>
      </c>
      <c r="Y35" s="73">
        <f t="shared" si="4"/>
        <v>0</v>
      </c>
      <c r="Z35" s="19">
        <f>IF(P35-SUM(AB$5:AB35)+1&gt;0,IF(Dane_kredytowe!F$9&lt;B35,IF(SUM(AB$5:AB35)-Dane_kredytowe!F$16+1&gt;0,PMT(M35/12,P35+1-SUM(AB$5:AB35),N35),Y35),0),0)</f>
        <v>0</v>
      </c>
      <c r="AA35" s="19">
        <f t="shared" si="34"/>
        <v>0</v>
      </c>
      <c r="AB35" s="20" t="str">
        <f>IF(AND(Dane_kredytowe!F$9&lt;B35,SUM(AB$5:AB34)&lt;P34),1," ")</f>
        <v xml:space="preserve"> </v>
      </c>
      <c r="AD35" s="75">
        <f>IF(OR(B35&lt;Dane_kredytowe!F$15,Dane_kredytowe!F$15=""),-F35+S35,0)</f>
        <v>0</v>
      </c>
      <c r="AE35" s="75">
        <f t="shared" si="5"/>
        <v>0</v>
      </c>
      <c r="AG35" s="22">
        <f>Dane_kredytowe!F$17-SUM(AI$5:AI34)+SUM(W35:W$42)-SUM(X35:X$42)</f>
        <v>95134.46</v>
      </c>
      <c r="AH35" s="22">
        <f t="shared" si="6"/>
        <v>0</v>
      </c>
      <c r="AI35" s="22">
        <f t="shared" si="7"/>
        <v>0</v>
      </c>
      <c r="AJ35" s="22">
        <f t="shared" si="35"/>
        <v>0</v>
      </c>
      <c r="AK35" s="22">
        <f t="shared" si="8"/>
        <v>0</v>
      </c>
      <c r="AL35" s="22">
        <f>Dane_kredytowe!F$8-SUM(AN$5:AN34)+SUM(R34:R$42)-SUM(S35:S$42)</f>
        <v>300000</v>
      </c>
      <c r="AM35" s="22">
        <f t="shared" si="9"/>
        <v>0</v>
      </c>
      <c r="AN35" s="22">
        <f t="shared" si="10"/>
        <v>0</v>
      </c>
      <c r="AO35" s="22">
        <f t="shared" si="36"/>
        <v>0</v>
      </c>
      <c r="AP35" s="22">
        <f t="shared" si="37"/>
        <v>0</v>
      </c>
      <c r="AR35" s="87">
        <f t="shared" si="11"/>
        <v>38169</v>
      </c>
      <c r="AS35" s="23">
        <f>AS$5+SUM(AV$5:AV34)-SUM(X$5:X35)+SUM(W$5:W35)</f>
        <v>139056.27143784185</v>
      </c>
      <c r="AT35" s="22">
        <f t="shared" si="12"/>
        <v>0</v>
      </c>
      <c r="AU35" s="22">
        <f>IF(AB35=1,IF(Q35="tak",AT35,PMT(M35/12,P35+1-SUM(AB$5:AB35),AS35)),0)</f>
        <v>0</v>
      </c>
      <c r="AV35" s="22">
        <f t="shared" si="38"/>
        <v>0</v>
      </c>
      <c r="AW35" s="22">
        <f t="shared" si="13"/>
        <v>0</v>
      </c>
      <c r="AY35" s="23">
        <f>AY$5+SUM(BA$5:BA34)+SUM(W$5:W34)-SUM(X$5:X34)</f>
        <v>139056.27143784185</v>
      </c>
      <c r="AZ35" s="23">
        <f t="shared" si="14"/>
        <v>0</v>
      </c>
      <c r="BA35" s="23">
        <f t="shared" si="15"/>
        <v>0</v>
      </c>
      <c r="BB35" s="23">
        <f t="shared" si="39"/>
        <v>0</v>
      </c>
      <c r="BC35" s="23">
        <f t="shared" si="16"/>
        <v>0</v>
      </c>
      <c r="BE35" s="88">
        <f t="shared" si="17"/>
        <v>6.1800000000000001E-2</v>
      </c>
      <c r="BF35" s="89">
        <f>BE35+Dane_kredytowe!F$12</f>
        <v>9.1799999999999993E-2</v>
      </c>
      <c r="BG35" s="23">
        <f>BG$5+SUM(BH$5:BH34)+SUM(R$5:R34)-SUM(S$5:S34)</f>
        <v>300000</v>
      </c>
      <c r="BH35" s="22">
        <f t="shared" si="40"/>
        <v>0</v>
      </c>
      <c r="BI35" s="22">
        <f t="shared" si="41"/>
        <v>0</v>
      </c>
      <c r="BJ35" s="22">
        <f>IF(U35&lt;0,PMT(BF35/12,Dane_kredytowe!F$13-SUM(AB$5:AB35)+1,BG35),0)</f>
        <v>0</v>
      </c>
      <c r="BL35" s="23">
        <f>BL$5+SUM(BN$5:BN34)+SUM(R$5:R34)-SUM(S$5:S34)</f>
        <v>300000</v>
      </c>
      <c r="BM35" s="23">
        <f t="shared" si="18"/>
        <v>0</v>
      </c>
      <c r="BN35" s="23">
        <f t="shared" si="19"/>
        <v>0</v>
      </c>
      <c r="BO35" s="23">
        <f t="shared" si="20"/>
        <v>0</v>
      </c>
      <c r="BQ35" s="89">
        <f t="shared" si="42"/>
        <v>7.85E-2</v>
      </c>
      <c r="BR35" s="23">
        <f>BR$5+SUM(BS$5:BS34)+SUM(R$5:R34)-SUM(S$5:S34)+SUM(BV$5:BV34)</f>
        <v>300000</v>
      </c>
      <c r="BS35" s="22">
        <f t="shared" si="49"/>
        <v>0</v>
      </c>
      <c r="BT35" s="22">
        <f t="shared" si="50"/>
        <v>0</v>
      </c>
      <c r="BU35" s="22">
        <f>IF(U35&lt;0,PMT(BQ35/12,Dane_kredytowe!F$13-SUM(AB$5:AB35)+1,BR35),0)</f>
        <v>0</v>
      </c>
      <c r="BV35" s="22">
        <f t="shared" si="43"/>
        <v>0</v>
      </c>
      <c r="BX35" s="23">
        <f>BX$5+SUM(BZ$5:BZ34)+SUM(R$5:R34)-SUM(S$5:S34)+SUM(CB$5,CB34)</f>
        <v>300000</v>
      </c>
      <c r="BY35" s="22">
        <f t="shared" si="21"/>
        <v>0</v>
      </c>
      <c r="BZ35" s="22">
        <f t="shared" si="22"/>
        <v>0</v>
      </c>
      <c r="CA35" s="22">
        <f t="shared" si="51"/>
        <v>0</v>
      </c>
      <c r="CB35" s="22">
        <f t="shared" si="52"/>
        <v>0</v>
      </c>
      <c r="CD35" s="22">
        <f>CD$5+SUM(CE$5:CE34)+SUM(R$5:R34)-SUM(S$5:S34)-SUM(CF$5:CF34)</f>
        <v>300000</v>
      </c>
      <c r="CE35" s="22">
        <f t="shared" si="44"/>
        <v>0</v>
      </c>
      <c r="CF35" s="22">
        <f t="shared" si="23"/>
        <v>0</v>
      </c>
      <c r="CG35" s="22">
        <f t="shared" si="45"/>
        <v>0</v>
      </c>
      <c r="CI35" s="89">
        <f t="shared" si="24"/>
        <v>0.86499999999999999</v>
      </c>
      <c r="CJ35" s="22">
        <f t="shared" si="25"/>
        <v>0</v>
      </c>
      <c r="CK35" s="15">
        <f t="shared" si="46"/>
        <v>0</v>
      </c>
      <c r="CM35" s="22">
        <f t="shared" si="47"/>
        <v>0</v>
      </c>
      <c r="CN35" s="15">
        <f t="shared" si="53"/>
        <v>0</v>
      </c>
    </row>
    <row r="36" spans="1:92">
      <c r="A36" s="25"/>
      <c r="B36" s="80">
        <v>38200</v>
      </c>
      <c r="C36" s="81">
        <f t="shared" si="0"/>
        <v>2.8835999999999999</v>
      </c>
      <c r="D36" s="82">
        <f t="shared" si="48"/>
        <v>2.9701080000000002</v>
      </c>
      <c r="E36" s="73">
        <f t="shared" si="26"/>
        <v>0</v>
      </c>
      <c r="F36" s="19">
        <f t="shared" si="27"/>
        <v>0</v>
      </c>
      <c r="G36" s="19">
        <f t="shared" si="28"/>
        <v>0</v>
      </c>
      <c r="H36" s="19">
        <f t="shared" si="29"/>
        <v>0</v>
      </c>
      <c r="I36" s="62"/>
      <c r="J36" s="15" t="str">
        <f t="shared" si="30"/>
        <v xml:space="preserve"> </v>
      </c>
      <c r="K36" s="15">
        <f>IF(B36&lt;=Dane_kredytowe!F$9,0,K35+1)</f>
        <v>0</v>
      </c>
      <c r="L36" s="83">
        <f t="shared" si="1"/>
        <v>5.3330000000000001E-3</v>
      </c>
      <c r="M36" s="84">
        <f>L36+Dane_kredytowe!F$12</f>
        <v>3.5332999999999996E-2</v>
      </c>
      <c r="N36" s="79">
        <f>MAX(Dane_kredytowe!F$17+SUM(AA$5:AA35)-SUM(X$5:X36)+SUM(W$5:W36),0)</f>
        <v>95134.46</v>
      </c>
      <c r="O36" s="85">
        <f>MAX(Dane_kredytowe!F$8+SUM(V$5:V35)-SUM(S$5:S36)+SUM(R$5:R35),0)</f>
        <v>300000</v>
      </c>
      <c r="P36" s="67">
        <f t="shared" si="31"/>
        <v>360</v>
      </c>
      <c r="Q36" s="127" t="str">
        <f>IF(AND(K36&gt;0,K36&lt;=Dane_kredytowe!F$16),"tak","nie")</f>
        <v>nie</v>
      </c>
      <c r="R36" s="69"/>
      <c r="S36" s="86">
        <f>IF(Dane_kredytowe!F$19=B36,O35+V35,_xlfn.XLOOKUP(B36,Dane_kredytowe!M$9:M$18,Dane_kredytowe!N$9:N$18,0))</f>
        <v>0</v>
      </c>
      <c r="T36" s="71">
        <f t="shared" si="2"/>
        <v>0</v>
      </c>
      <c r="U36" s="72">
        <f>IF(Q36="tak",T36,IF(P36-SUM(AB$5:AB36)+1&gt;0,IF(Dane_kredytowe!F$9&lt;B36,IF(SUM(AB$5:AB36)-Dane_kredytowe!F$16+1&gt;0,PMT(M36/12,P36+1-SUM(AB$5:AB36),O36),T36),0),0))</f>
        <v>0</v>
      </c>
      <c r="V36" s="72">
        <f t="shared" si="32"/>
        <v>0</v>
      </c>
      <c r="W36" s="19" t="str">
        <f t="shared" si="33"/>
        <v xml:space="preserve"> </v>
      </c>
      <c r="X36" s="19">
        <f t="shared" si="3"/>
        <v>0</v>
      </c>
      <c r="Y36" s="73">
        <f t="shared" si="4"/>
        <v>0</v>
      </c>
      <c r="Z36" s="19">
        <f>IF(P36-SUM(AB$5:AB36)+1&gt;0,IF(Dane_kredytowe!F$9&lt;B36,IF(SUM(AB$5:AB36)-Dane_kredytowe!F$16+1&gt;0,PMT(M36/12,P36+1-SUM(AB$5:AB36),N36),Y36),0),0)</f>
        <v>0</v>
      </c>
      <c r="AA36" s="19">
        <f t="shared" si="34"/>
        <v>0</v>
      </c>
      <c r="AB36" s="20" t="str">
        <f>IF(AND(Dane_kredytowe!F$9&lt;B36,SUM(AB$5:AB35)&lt;P35),1," ")</f>
        <v xml:space="preserve"> </v>
      </c>
      <c r="AD36" s="75">
        <f>IF(OR(B36&lt;Dane_kredytowe!F$15,Dane_kredytowe!F$15=""),-F36+S36,0)</f>
        <v>0</v>
      </c>
      <c r="AE36" s="75">
        <f t="shared" si="5"/>
        <v>0</v>
      </c>
      <c r="AG36" s="22">
        <f>Dane_kredytowe!F$17-SUM(AI$5:AI35)+SUM(W36:W$42)-SUM(X36:X$42)</f>
        <v>95134.46</v>
      </c>
      <c r="AH36" s="22">
        <f t="shared" si="6"/>
        <v>0</v>
      </c>
      <c r="AI36" s="22">
        <f t="shared" si="7"/>
        <v>0</v>
      </c>
      <c r="AJ36" s="22">
        <f t="shared" si="35"/>
        <v>0</v>
      </c>
      <c r="AK36" s="22">
        <f t="shared" si="8"/>
        <v>0</v>
      </c>
      <c r="AL36" s="22">
        <f>Dane_kredytowe!F$8-SUM(AN$5:AN35)+SUM(R35:R$42)-SUM(S36:S$42)</f>
        <v>300000</v>
      </c>
      <c r="AM36" s="22">
        <f t="shared" si="9"/>
        <v>0</v>
      </c>
      <c r="AN36" s="22">
        <f t="shared" si="10"/>
        <v>0</v>
      </c>
      <c r="AO36" s="22">
        <f t="shared" si="36"/>
        <v>0</v>
      </c>
      <c r="AP36" s="22">
        <f t="shared" si="37"/>
        <v>0</v>
      </c>
      <c r="AR36" s="87">
        <f t="shared" si="11"/>
        <v>38200</v>
      </c>
      <c r="AS36" s="23">
        <f>AS$5+SUM(AV$5:AV35)-SUM(X$5:X36)+SUM(W$5:W36)</f>
        <v>139056.27143784185</v>
      </c>
      <c r="AT36" s="22">
        <f t="shared" si="12"/>
        <v>0</v>
      </c>
      <c r="AU36" s="22">
        <f>IF(AB36=1,IF(Q36="tak",AT36,PMT(M36/12,P36+1-SUM(AB$5:AB36),AS36)),0)</f>
        <v>0</v>
      </c>
      <c r="AV36" s="22">
        <f t="shared" si="38"/>
        <v>0</v>
      </c>
      <c r="AW36" s="22">
        <f t="shared" si="13"/>
        <v>0</v>
      </c>
      <c r="AY36" s="23">
        <f>AY$5+SUM(BA$5:BA35)+SUM(W$5:W35)-SUM(X$5:X35)</f>
        <v>139056.27143784185</v>
      </c>
      <c r="AZ36" s="23">
        <f t="shared" si="14"/>
        <v>0</v>
      </c>
      <c r="BA36" s="23">
        <f t="shared" si="15"/>
        <v>0</v>
      </c>
      <c r="BB36" s="23">
        <f t="shared" si="39"/>
        <v>0</v>
      </c>
      <c r="BC36" s="23">
        <f t="shared" si="16"/>
        <v>0</v>
      </c>
      <c r="BE36" s="88">
        <f t="shared" si="17"/>
        <v>6.4100000000000004E-2</v>
      </c>
      <c r="BF36" s="89">
        <f>BE36+Dane_kredytowe!F$12</f>
        <v>9.4100000000000003E-2</v>
      </c>
      <c r="BG36" s="23">
        <f>BG$5+SUM(BH$5:BH35)+SUM(R$5:R35)-SUM(S$5:S35)</f>
        <v>300000</v>
      </c>
      <c r="BH36" s="22">
        <f t="shared" si="40"/>
        <v>0</v>
      </c>
      <c r="BI36" s="22">
        <f t="shared" si="41"/>
        <v>0</v>
      </c>
      <c r="BJ36" s="22">
        <f>IF(U36&lt;0,PMT(BF36/12,Dane_kredytowe!F$13-SUM(AB$5:AB36)+1,BG36),0)</f>
        <v>0</v>
      </c>
      <c r="BL36" s="23">
        <f>BL$5+SUM(BN$5:BN35)+SUM(R$5:R35)-SUM(S$5:S35)</f>
        <v>300000</v>
      </c>
      <c r="BM36" s="23">
        <f t="shared" si="18"/>
        <v>0</v>
      </c>
      <c r="BN36" s="23">
        <f t="shared" si="19"/>
        <v>0</v>
      </c>
      <c r="BO36" s="23">
        <f t="shared" si="20"/>
        <v>0</v>
      </c>
      <c r="BQ36" s="89">
        <f t="shared" si="42"/>
        <v>8.0800000000000011E-2</v>
      </c>
      <c r="BR36" s="23">
        <f>BR$5+SUM(BS$5:BS35)+SUM(R$5:R35)-SUM(S$5:S35)+SUM(BV$5:BV35)</f>
        <v>300000</v>
      </c>
      <c r="BS36" s="22">
        <f t="shared" si="49"/>
        <v>0</v>
      </c>
      <c r="BT36" s="22">
        <f t="shared" si="50"/>
        <v>0</v>
      </c>
      <c r="BU36" s="22">
        <f>IF(U36&lt;0,PMT(BQ36/12,Dane_kredytowe!F$13-SUM(AB$5:AB36)+1,BR36),0)</f>
        <v>0</v>
      </c>
      <c r="BV36" s="22">
        <f t="shared" si="43"/>
        <v>0</v>
      </c>
      <c r="BX36" s="23">
        <f>BX$5+SUM(BZ$5:BZ35)+SUM(R$5:R35)-SUM(S$5:S35)+SUM(CB$5,CB35)</f>
        <v>300000</v>
      </c>
      <c r="BY36" s="22">
        <f t="shared" si="21"/>
        <v>0</v>
      </c>
      <c r="BZ36" s="22">
        <f t="shared" si="22"/>
        <v>0</v>
      </c>
      <c r="CA36" s="22">
        <f t="shared" si="51"/>
        <v>0</v>
      </c>
      <c r="CB36" s="22">
        <f t="shared" si="52"/>
        <v>0</v>
      </c>
      <c r="CD36" s="22">
        <f>CD$5+SUM(CE$5:CE35)+SUM(R$5:R35)-SUM(S$5:S35)-SUM(CF$5:CF35)</f>
        <v>300000</v>
      </c>
      <c r="CE36" s="22">
        <f t="shared" si="44"/>
        <v>0</v>
      </c>
      <c r="CF36" s="22">
        <f t="shared" si="23"/>
        <v>0</v>
      </c>
      <c r="CG36" s="22">
        <f t="shared" si="45"/>
        <v>0</v>
      </c>
      <c r="CI36" s="89">
        <f t="shared" si="24"/>
        <v>0.87250000000000005</v>
      </c>
      <c r="CJ36" s="22">
        <f t="shared" si="25"/>
        <v>0</v>
      </c>
      <c r="CK36" s="15">
        <f t="shared" si="46"/>
        <v>0</v>
      </c>
      <c r="CM36" s="22">
        <f t="shared" si="47"/>
        <v>0</v>
      </c>
      <c r="CN36" s="15">
        <f t="shared" si="53"/>
        <v>0</v>
      </c>
    </row>
    <row r="37" spans="1:92">
      <c r="A37" s="25"/>
      <c r="B37" s="80">
        <v>38231</v>
      </c>
      <c r="C37" s="81">
        <f t="shared" si="0"/>
        <v>2.8365</v>
      </c>
      <c r="D37" s="82">
        <f t="shared" si="48"/>
        <v>2.9215949999999999</v>
      </c>
      <c r="E37" s="73">
        <f t="shared" si="26"/>
        <v>0</v>
      </c>
      <c r="F37" s="19">
        <f t="shared" si="27"/>
        <v>0</v>
      </c>
      <c r="G37" s="19">
        <f t="shared" si="28"/>
        <v>0</v>
      </c>
      <c r="H37" s="19">
        <f t="shared" si="29"/>
        <v>0</v>
      </c>
      <c r="I37" s="62"/>
      <c r="J37" s="15" t="str">
        <f t="shared" si="30"/>
        <v xml:space="preserve"> </v>
      </c>
      <c r="K37" s="15">
        <f>IF(B37&lt;=Dane_kredytowe!F$9,0,K36+1)</f>
        <v>0</v>
      </c>
      <c r="L37" s="83">
        <f t="shared" si="1"/>
        <v>6.45E-3</v>
      </c>
      <c r="M37" s="84">
        <f>L37+Dane_kredytowe!F$12</f>
        <v>3.6449999999999996E-2</v>
      </c>
      <c r="N37" s="79">
        <f>MAX(Dane_kredytowe!F$17+SUM(AA$5:AA36)-SUM(X$5:X37)+SUM(W$5:W37),0)</f>
        <v>95134.46</v>
      </c>
      <c r="O37" s="85">
        <f>MAX(Dane_kredytowe!F$8+SUM(V$5:V36)-SUM(S$5:S37)+SUM(R$5:R36),0)</f>
        <v>300000</v>
      </c>
      <c r="P37" s="67">
        <f t="shared" si="31"/>
        <v>360</v>
      </c>
      <c r="Q37" s="127" t="str">
        <f>IF(AND(K37&gt;0,K37&lt;=Dane_kredytowe!F$16),"tak","nie")</f>
        <v>nie</v>
      </c>
      <c r="R37" s="69"/>
      <c r="S37" s="86">
        <f>IF(Dane_kredytowe!F$19=B37,O36+V36,_xlfn.XLOOKUP(B37,Dane_kredytowe!M$9:M$18,Dane_kredytowe!N$9:N$18,0))</f>
        <v>0</v>
      </c>
      <c r="T37" s="71">
        <f t="shared" si="2"/>
        <v>0</v>
      </c>
      <c r="U37" s="72">
        <f>IF(Q37="tak",T37,IF(P37-SUM(AB$5:AB37)+1&gt;0,IF(Dane_kredytowe!F$9&lt;B37,IF(SUM(AB$5:AB37)-Dane_kredytowe!F$16+1&gt;0,PMT(M37/12,P37+1-SUM(AB$5:AB37),O37),T37),0),0))</f>
        <v>0</v>
      </c>
      <c r="V37" s="72">
        <f t="shared" si="32"/>
        <v>0</v>
      </c>
      <c r="W37" s="19" t="str">
        <f t="shared" si="33"/>
        <v xml:space="preserve"> </v>
      </c>
      <c r="X37" s="19">
        <f t="shared" si="3"/>
        <v>0</v>
      </c>
      <c r="Y37" s="73">
        <f t="shared" si="4"/>
        <v>0</v>
      </c>
      <c r="Z37" s="19">
        <f>IF(P37-SUM(AB$5:AB37)+1&gt;0,IF(Dane_kredytowe!F$9&lt;B37,IF(SUM(AB$5:AB37)-Dane_kredytowe!F$16+1&gt;0,PMT(M37/12,P37+1-SUM(AB$5:AB37),N37),Y37),0),0)</f>
        <v>0</v>
      </c>
      <c r="AA37" s="19">
        <f t="shared" si="34"/>
        <v>0</v>
      </c>
      <c r="AB37" s="20" t="str">
        <f>IF(AND(Dane_kredytowe!F$9&lt;B37,SUM(AB$5:AB36)&lt;P36),1," ")</f>
        <v xml:space="preserve"> </v>
      </c>
      <c r="AD37" s="75">
        <f>IF(OR(B37&lt;Dane_kredytowe!F$15,Dane_kredytowe!F$15=""),-F37+S37,0)</f>
        <v>0</v>
      </c>
      <c r="AE37" s="75">
        <f t="shared" si="5"/>
        <v>0</v>
      </c>
      <c r="AG37" s="22">
        <f>Dane_kredytowe!F$17-SUM(AI$5:AI36)+SUM(W37:W$42)-SUM(X37:X$42)</f>
        <v>95134.46</v>
      </c>
      <c r="AH37" s="22">
        <f t="shared" si="6"/>
        <v>0</v>
      </c>
      <c r="AI37" s="22">
        <f t="shared" si="7"/>
        <v>0</v>
      </c>
      <c r="AJ37" s="22">
        <f t="shared" si="35"/>
        <v>0</v>
      </c>
      <c r="AK37" s="22">
        <f t="shared" si="8"/>
        <v>0</v>
      </c>
      <c r="AL37" s="22">
        <f>Dane_kredytowe!F$8-SUM(AN$5:AN36)+SUM(R36:R$42)-SUM(S37:S$42)</f>
        <v>300000</v>
      </c>
      <c r="AM37" s="22">
        <f t="shared" si="9"/>
        <v>0</v>
      </c>
      <c r="AN37" s="22">
        <f t="shared" si="10"/>
        <v>0</v>
      </c>
      <c r="AO37" s="22">
        <f t="shared" si="36"/>
        <v>0</v>
      </c>
      <c r="AP37" s="22">
        <f t="shared" si="37"/>
        <v>0</v>
      </c>
      <c r="AR37" s="87">
        <f t="shared" si="11"/>
        <v>38231</v>
      </c>
      <c r="AS37" s="23">
        <f>AS$5+SUM(AV$5:AV36)-SUM(X$5:X37)+SUM(W$5:W37)</f>
        <v>139056.27143784185</v>
      </c>
      <c r="AT37" s="22">
        <f t="shared" si="12"/>
        <v>0</v>
      </c>
      <c r="AU37" s="22">
        <f>IF(AB37=1,IF(Q37="tak",AT37,PMT(M37/12,P37+1-SUM(AB$5:AB37),AS37)),0)</f>
        <v>0</v>
      </c>
      <c r="AV37" s="22">
        <f t="shared" si="38"/>
        <v>0</v>
      </c>
      <c r="AW37" s="22">
        <f t="shared" si="13"/>
        <v>0</v>
      </c>
      <c r="AY37" s="23">
        <f>AY$5+SUM(BA$5:BA36)+SUM(W$5:W36)-SUM(X$5:X36)</f>
        <v>139056.27143784185</v>
      </c>
      <c r="AZ37" s="23">
        <f t="shared" si="14"/>
        <v>0</v>
      </c>
      <c r="BA37" s="23">
        <f t="shared" si="15"/>
        <v>0</v>
      </c>
      <c r="BB37" s="23">
        <f t="shared" si="39"/>
        <v>0</v>
      </c>
      <c r="BC37" s="23">
        <f t="shared" si="16"/>
        <v>0</v>
      </c>
      <c r="BE37" s="88">
        <f t="shared" si="17"/>
        <v>7.0900000000000005E-2</v>
      </c>
      <c r="BF37" s="89">
        <f>BE37+Dane_kredytowe!F$12</f>
        <v>0.1009</v>
      </c>
      <c r="BG37" s="23">
        <f>BG$5+SUM(BH$5:BH36)+SUM(R$5:R36)-SUM(S$5:S36)</f>
        <v>300000</v>
      </c>
      <c r="BH37" s="22">
        <f t="shared" si="40"/>
        <v>0</v>
      </c>
      <c r="BI37" s="22">
        <f t="shared" si="41"/>
        <v>0</v>
      </c>
      <c r="BJ37" s="22">
        <f>IF(U37&lt;0,PMT(BF37/12,Dane_kredytowe!F$13-SUM(AB$5:AB37)+1,BG37),0)</f>
        <v>0</v>
      </c>
      <c r="BL37" s="23">
        <f>BL$5+SUM(BN$5:BN36)+SUM(R$5:R36)-SUM(S$5:S36)</f>
        <v>300000</v>
      </c>
      <c r="BM37" s="23">
        <f t="shared" si="18"/>
        <v>0</v>
      </c>
      <c r="BN37" s="23">
        <f t="shared" si="19"/>
        <v>0</v>
      </c>
      <c r="BO37" s="23">
        <f t="shared" si="20"/>
        <v>0</v>
      </c>
      <c r="BQ37" s="89">
        <f t="shared" si="42"/>
        <v>8.7600000000000011E-2</v>
      </c>
      <c r="BR37" s="23">
        <f>BR$5+SUM(BS$5:BS36)+SUM(R$5:R36)-SUM(S$5:S36)+SUM(BV$5:BV36)</f>
        <v>300000</v>
      </c>
      <c r="BS37" s="22">
        <f t="shared" si="49"/>
        <v>0</v>
      </c>
      <c r="BT37" s="22">
        <f t="shared" si="50"/>
        <v>0</v>
      </c>
      <c r="BU37" s="22">
        <f>IF(U37&lt;0,PMT(BQ37/12,Dane_kredytowe!F$13-SUM(AB$5:AB37)+1,BR37),0)</f>
        <v>0</v>
      </c>
      <c r="BV37" s="22">
        <f t="shared" si="43"/>
        <v>0</v>
      </c>
      <c r="BX37" s="23">
        <f>BX$5+SUM(BZ$5:BZ36)+SUM(R$5:R36)-SUM(S$5:S36)+SUM(CB$5,CB36)</f>
        <v>300000</v>
      </c>
      <c r="BY37" s="22">
        <f t="shared" si="21"/>
        <v>0</v>
      </c>
      <c r="BZ37" s="22">
        <f t="shared" si="22"/>
        <v>0</v>
      </c>
      <c r="CA37" s="22">
        <f t="shared" si="51"/>
        <v>0</v>
      </c>
      <c r="CB37" s="22">
        <f t="shared" si="52"/>
        <v>0</v>
      </c>
      <c r="CD37" s="22">
        <f>CD$5+SUM(CE$5:CE36)+SUM(R$5:R36)-SUM(S$5:S36)-SUM(CF$5:CF36)</f>
        <v>300000</v>
      </c>
      <c r="CE37" s="22">
        <f t="shared" si="44"/>
        <v>0</v>
      </c>
      <c r="CF37" s="22">
        <f t="shared" si="23"/>
        <v>0</v>
      </c>
      <c r="CG37" s="22">
        <f t="shared" si="45"/>
        <v>0</v>
      </c>
      <c r="CI37" s="89">
        <f t="shared" si="24"/>
        <v>0.8669</v>
      </c>
      <c r="CJ37" s="22">
        <f t="shared" si="25"/>
        <v>0</v>
      </c>
      <c r="CK37" s="15">
        <f t="shared" si="46"/>
        <v>0</v>
      </c>
      <c r="CM37" s="22">
        <f t="shared" si="47"/>
        <v>0</v>
      </c>
      <c r="CN37" s="15">
        <f t="shared" si="53"/>
        <v>0</v>
      </c>
    </row>
    <row r="38" spans="1:92">
      <c r="A38" s="25"/>
      <c r="B38" s="80">
        <v>38261</v>
      </c>
      <c r="C38" s="81">
        <f t="shared" si="0"/>
        <v>2.8031999999999999</v>
      </c>
      <c r="D38" s="82">
        <f t="shared" si="48"/>
        <v>2.8872960000000001</v>
      </c>
      <c r="E38" s="73">
        <f t="shared" si="26"/>
        <v>0</v>
      </c>
      <c r="F38" s="19">
        <f t="shared" si="27"/>
        <v>0</v>
      </c>
      <c r="G38" s="19">
        <f t="shared" si="28"/>
        <v>0</v>
      </c>
      <c r="H38" s="19">
        <f t="shared" si="29"/>
        <v>0</v>
      </c>
      <c r="I38" s="62"/>
      <c r="J38" s="15" t="str">
        <f t="shared" si="30"/>
        <v xml:space="preserve"> </v>
      </c>
      <c r="K38" s="15">
        <f>IF(B38&lt;=Dane_kredytowe!F$9,0,K37+1)</f>
        <v>0</v>
      </c>
      <c r="L38" s="83">
        <f t="shared" si="1"/>
        <v>7.0000000000000001E-3</v>
      </c>
      <c r="M38" s="84">
        <f>L38+Dane_kredytowe!F$12</f>
        <v>3.6999999999999998E-2</v>
      </c>
      <c r="N38" s="79">
        <f>MAX(Dane_kredytowe!F$17+SUM(AA$5:AA37)-SUM(X$5:X38)+SUM(W$5:W38),0)</f>
        <v>95134.46</v>
      </c>
      <c r="O38" s="85">
        <f>MAX(Dane_kredytowe!F$8+SUM(V$5:V37)-SUM(S$5:S38)+SUM(R$5:R37),0)</f>
        <v>300000</v>
      </c>
      <c r="P38" s="67">
        <f t="shared" si="31"/>
        <v>360</v>
      </c>
      <c r="Q38" s="127" t="str">
        <f>IF(AND(K38&gt;0,K38&lt;=Dane_kredytowe!F$16),"tak","nie")</f>
        <v>nie</v>
      </c>
      <c r="R38" s="69"/>
      <c r="S38" s="86">
        <f>IF(Dane_kredytowe!F$19=B38,O37+V37,_xlfn.XLOOKUP(B38,Dane_kredytowe!M$9:M$18,Dane_kredytowe!N$9:N$18,0))</f>
        <v>0</v>
      </c>
      <c r="T38" s="71">
        <f t="shared" si="2"/>
        <v>0</v>
      </c>
      <c r="U38" s="72">
        <f>IF(Q38="tak",T38,IF(P38-SUM(AB$5:AB38)+1&gt;0,IF(Dane_kredytowe!F$9&lt;B38,IF(SUM(AB$5:AB38)-Dane_kredytowe!F$16+1&gt;0,PMT(M38/12,P38+1-SUM(AB$5:AB38),O38),T38),0),0))</f>
        <v>0</v>
      </c>
      <c r="V38" s="72">
        <f t="shared" si="32"/>
        <v>0</v>
      </c>
      <c r="W38" s="19" t="str">
        <f t="shared" si="33"/>
        <v xml:space="preserve"> </v>
      </c>
      <c r="X38" s="19">
        <f t="shared" si="3"/>
        <v>0</v>
      </c>
      <c r="Y38" s="73">
        <f t="shared" si="4"/>
        <v>0</v>
      </c>
      <c r="Z38" s="19">
        <f>IF(P38-SUM(AB$5:AB38)+1&gt;0,IF(Dane_kredytowe!F$9&lt;B38,IF(SUM(AB$5:AB38)-Dane_kredytowe!F$16+1&gt;0,PMT(M38/12,P38+1-SUM(AB$5:AB38),N38),Y38),0),0)</f>
        <v>0</v>
      </c>
      <c r="AA38" s="19">
        <f t="shared" si="34"/>
        <v>0</v>
      </c>
      <c r="AB38" s="20" t="str">
        <f>IF(AND(Dane_kredytowe!F$9&lt;B38,SUM(AB$5:AB37)&lt;P37),1," ")</f>
        <v xml:space="preserve"> </v>
      </c>
      <c r="AD38" s="75">
        <f>IF(OR(B38&lt;Dane_kredytowe!F$15,Dane_kredytowe!F$15=""),-F38+S38,0)</f>
        <v>0</v>
      </c>
      <c r="AE38" s="75">
        <f t="shared" si="5"/>
        <v>0</v>
      </c>
      <c r="AG38" s="22">
        <f>Dane_kredytowe!F$17-SUM(AI$5:AI37)+SUM(W38:W$42)-SUM(X38:X$42)</f>
        <v>95134.46</v>
      </c>
      <c r="AH38" s="22">
        <f t="shared" si="6"/>
        <v>0</v>
      </c>
      <c r="AI38" s="22">
        <f t="shared" si="7"/>
        <v>0</v>
      </c>
      <c r="AJ38" s="22">
        <f t="shared" si="35"/>
        <v>0</v>
      </c>
      <c r="AK38" s="22">
        <f t="shared" si="8"/>
        <v>0</v>
      </c>
      <c r="AL38" s="22">
        <f>Dane_kredytowe!F$8-SUM(AN$5:AN37)+SUM(R37:R$42)-SUM(S38:S$42)</f>
        <v>300000</v>
      </c>
      <c r="AM38" s="22">
        <f t="shared" si="9"/>
        <v>0</v>
      </c>
      <c r="AN38" s="22">
        <f t="shared" si="10"/>
        <v>0</v>
      </c>
      <c r="AO38" s="22">
        <f t="shared" si="36"/>
        <v>0</v>
      </c>
      <c r="AP38" s="22">
        <f t="shared" si="37"/>
        <v>0</v>
      </c>
      <c r="AR38" s="87">
        <f t="shared" si="11"/>
        <v>38261</v>
      </c>
      <c r="AS38" s="23">
        <f>AS$5+SUM(AV$5:AV37)-SUM(X$5:X38)+SUM(W$5:W38)</f>
        <v>139056.27143784185</v>
      </c>
      <c r="AT38" s="22">
        <f t="shared" si="12"/>
        <v>0</v>
      </c>
      <c r="AU38" s="22">
        <f>IF(AB38=1,IF(Q38="tak",AT38,PMT(M38/12,P38+1-SUM(AB$5:AB38),AS38)),0)</f>
        <v>0</v>
      </c>
      <c r="AV38" s="22">
        <f t="shared" si="38"/>
        <v>0</v>
      </c>
      <c r="AW38" s="22">
        <f t="shared" si="13"/>
        <v>0</v>
      </c>
      <c r="AY38" s="23">
        <f>AY$5+SUM(BA$5:BA37)+SUM(W$5:W37)-SUM(X$5:X37)</f>
        <v>139056.27143784185</v>
      </c>
      <c r="AZ38" s="23">
        <f t="shared" si="14"/>
        <v>0</v>
      </c>
      <c r="BA38" s="23">
        <f t="shared" si="15"/>
        <v>0</v>
      </c>
      <c r="BB38" s="23">
        <f t="shared" si="39"/>
        <v>0</v>
      </c>
      <c r="BC38" s="23">
        <f t="shared" si="16"/>
        <v>0</v>
      </c>
      <c r="BE38" s="88">
        <f t="shared" si="17"/>
        <v>6.9199999999999998E-2</v>
      </c>
      <c r="BF38" s="89">
        <f>BE38+Dane_kredytowe!F$12</f>
        <v>9.9199999999999997E-2</v>
      </c>
      <c r="BG38" s="23">
        <f>BG$5+SUM(BH$5:BH37)+SUM(R$5:R37)-SUM(S$5:S37)</f>
        <v>300000</v>
      </c>
      <c r="BH38" s="22">
        <f t="shared" si="40"/>
        <v>0</v>
      </c>
      <c r="BI38" s="22">
        <f t="shared" si="41"/>
        <v>0</v>
      </c>
      <c r="BJ38" s="22">
        <f>IF(U38&lt;0,PMT(BF38/12,Dane_kredytowe!F$13-SUM(AB$5:AB38)+1,BG38),0)</f>
        <v>0</v>
      </c>
      <c r="BL38" s="23">
        <f>BL$5+SUM(BN$5:BN37)+SUM(R$5:R37)-SUM(S$5:S37)</f>
        <v>300000</v>
      </c>
      <c r="BM38" s="23">
        <f t="shared" si="18"/>
        <v>0</v>
      </c>
      <c r="BN38" s="23">
        <f t="shared" si="19"/>
        <v>0</v>
      </c>
      <c r="BO38" s="23">
        <f t="shared" si="20"/>
        <v>0</v>
      </c>
      <c r="BQ38" s="89">
        <f t="shared" si="42"/>
        <v>8.5900000000000004E-2</v>
      </c>
      <c r="BR38" s="23">
        <f>BR$5+SUM(BS$5:BS37)+SUM(R$5:R37)-SUM(S$5:S37)+SUM(BV$5:BV37)</f>
        <v>300000</v>
      </c>
      <c r="BS38" s="22">
        <f t="shared" si="49"/>
        <v>0</v>
      </c>
      <c r="BT38" s="22">
        <f t="shared" si="50"/>
        <v>0</v>
      </c>
      <c r="BU38" s="22">
        <f>IF(U38&lt;0,PMT(BQ38/12,Dane_kredytowe!F$13-SUM(AB$5:AB38)+1,BR38),0)</f>
        <v>0</v>
      </c>
      <c r="BV38" s="22">
        <f t="shared" si="43"/>
        <v>0</v>
      </c>
      <c r="BX38" s="23">
        <f>BX$5+SUM(BZ$5:BZ37)+SUM(R$5:R37)-SUM(S$5:S37)+SUM(CB$5,CB37)</f>
        <v>300000</v>
      </c>
      <c r="BY38" s="22">
        <f t="shared" si="21"/>
        <v>0</v>
      </c>
      <c r="BZ38" s="22">
        <f t="shared" si="22"/>
        <v>0</v>
      </c>
      <c r="CA38" s="22">
        <f t="shared" si="51"/>
        <v>0</v>
      </c>
      <c r="CB38" s="22">
        <f t="shared" si="52"/>
        <v>0</v>
      </c>
      <c r="CD38" s="22">
        <f>CD$5+SUM(CE$5:CE37)+SUM(R$5:R37)-SUM(S$5:S37)-SUM(CF$5:CF37)</f>
        <v>300000</v>
      </c>
      <c r="CE38" s="22">
        <f t="shared" si="44"/>
        <v>0</v>
      </c>
      <c r="CF38" s="22">
        <f t="shared" si="23"/>
        <v>0</v>
      </c>
      <c r="CG38" s="22">
        <f t="shared" si="45"/>
        <v>0</v>
      </c>
      <c r="CI38" s="89">
        <f t="shared" si="24"/>
        <v>0.85580000000000001</v>
      </c>
      <c r="CJ38" s="22">
        <f t="shared" si="25"/>
        <v>0</v>
      </c>
      <c r="CK38" s="15">
        <f t="shared" si="46"/>
        <v>0</v>
      </c>
      <c r="CM38" s="22">
        <f t="shared" si="47"/>
        <v>0</v>
      </c>
      <c r="CN38" s="15">
        <f t="shared" si="53"/>
        <v>0</v>
      </c>
    </row>
    <row r="39" spans="1:92">
      <c r="A39" s="25"/>
      <c r="B39" s="80">
        <v>38292</v>
      </c>
      <c r="C39" s="81">
        <f t="shared" si="0"/>
        <v>2.8008000000000002</v>
      </c>
      <c r="D39" s="82">
        <f t="shared" si="48"/>
        <v>2.8848240000000001</v>
      </c>
      <c r="E39" s="73">
        <f t="shared" si="26"/>
        <v>0</v>
      </c>
      <c r="F39" s="19">
        <f t="shared" si="27"/>
        <v>0</v>
      </c>
      <c r="G39" s="19">
        <f t="shared" si="28"/>
        <v>0</v>
      </c>
      <c r="H39" s="19">
        <f t="shared" si="29"/>
        <v>0</v>
      </c>
      <c r="I39" s="62"/>
      <c r="J39" s="15" t="str">
        <f t="shared" si="30"/>
        <v xml:space="preserve"> </v>
      </c>
      <c r="K39" s="15">
        <f>IF(B39&lt;=Dane_kredytowe!F$9,0,K38+1)</f>
        <v>0</v>
      </c>
      <c r="L39" s="83">
        <f t="shared" si="1"/>
        <v>7.2830000000000004E-3</v>
      </c>
      <c r="M39" s="84">
        <f>L39+Dane_kredytowe!F$12</f>
        <v>3.7282999999999997E-2</v>
      </c>
      <c r="N39" s="79">
        <f>MAX(Dane_kredytowe!F$17+SUM(AA$5:AA38)-SUM(X$5:X39)+SUM(W$5:W39),0)</f>
        <v>95134.46</v>
      </c>
      <c r="O39" s="85">
        <f>MAX(Dane_kredytowe!F$8+SUM(V$5:V38)-SUM(S$5:S39)+SUM(R$5:R38),0)</f>
        <v>300000</v>
      </c>
      <c r="P39" s="67">
        <f t="shared" si="31"/>
        <v>360</v>
      </c>
      <c r="Q39" s="127" t="str">
        <f>IF(AND(K39&gt;0,K39&lt;=Dane_kredytowe!F$16),"tak","nie")</f>
        <v>nie</v>
      </c>
      <c r="R39" s="69"/>
      <c r="S39" s="86">
        <f>IF(Dane_kredytowe!F$19=B39,O38+V38,_xlfn.XLOOKUP(B39,Dane_kredytowe!M$9:M$18,Dane_kredytowe!N$9:N$18,0))</f>
        <v>0</v>
      </c>
      <c r="T39" s="71">
        <f t="shared" si="2"/>
        <v>0</v>
      </c>
      <c r="U39" s="72">
        <f>IF(Q39="tak",T39,IF(P39-SUM(AB$5:AB39)+1&gt;0,IF(Dane_kredytowe!F$9&lt;B39,IF(SUM(AB$5:AB39)-Dane_kredytowe!F$16+1&gt;0,PMT(M39/12,P39+1-SUM(AB$5:AB39),O39),T39),0),0))</f>
        <v>0</v>
      </c>
      <c r="V39" s="72">
        <f t="shared" si="32"/>
        <v>0</v>
      </c>
      <c r="W39" s="19" t="str">
        <f t="shared" si="33"/>
        <v xml:space="preserve"> </v>
      </c>
      <c r="X39" s="19">
        <f t="shared" si="3"/>
        <v>0</v>
      </c>
      <c r="Y39" s="73">
        <f t="shared" si="4"/>
        <v>0</v>
      </c>
      <c r="Z39" s="19">
        <f>IF(P39-SUM(AB$5:AB39)+1&gt;0,IF(Dane_kredytowe!F$9&lt;B39,IF(SUM(AB$5:AB39)-Dane_kredytowe!F$16+1&gt;0,PMT(M39/12,P39+1-SUM(AB$5:AB39),N39),Y39),0),0)</f>
        <v>0</v>
      </c>
      <c r="AA39" s="19">
        <f t="shared" si="34"/>
        <v>0</v>
      </c>
      <c r="AB39" s="20" t="str">
        <f>IF(AND(Dane_kredytowe!F$9&lt;B39,SUM(AB$5:AB38)&lt;P38),1," ")</f>
        <v xml:space="preserve"> </v>
      </c>
      <c r="AD39" s="75">
        <f>IF(OR(B39&lt;Dane_kredytowe!F$15,Dane_kredytowe!F$15=""),-F39+S39,0)</f>
        <v>0</v>
      </c>
      <c r="AE39" s="75">
        <f t="shared" si="5"/>
        <v>0</v>
      </c>
      <c r="AG39" s="22">
        <f>Dane_kredytowe!F$17-SUM(AI$5:AI38)+SUM(W39:W$42)-SUM(X39:X$42)</f>
        <v>95134.46</v>
      </c>
      <c r="AH39" s="22">
        <f t="shared" si="6"/>
        <v>0</v>
      </c>
      <c r="AI39" s="22">
        <f t="shared" si="7"/>
        <v>0</v>
      </c>
      <c r="AJ39" s="22">
        <f t="shared" si="35"/>
        <v>0</v>
      </c>
      <c r="AK39" s="22">
        <f t="shared" si="8"/>
        <v>0</v>
      </c>
      <c r="AL39" s="22">
        <f>Dane_kredytowe!F$8-SUM(AN$5:AN38)+SUM(R38:R$42)-SUM(S39:S$42)</f>
        <v>300000</v>
      </c>
      <c r="AM39" s="22">
        <f t="shared" si="9"/>
        <v>0</v>
      </c>
      <c r="AN39" s="22">
        <f t="shared" si="10"/>
        <v>0</v>
      </c>
      <c r="AO39" s="22">
        <f t="shared" si="36"/>
        <v>0</v>
      </c>
      <c r="AP39" s="22">
        <f t="shared" si="37"/>
        <v>0</v>
      </c>
      <c r="AR39" s="87">
        <f t="shared" si="11"/>
        <v>38292</v>
      </c>
      <c r="AS39" s="23">
        <f>AS$5+SUM(AV$5:AV38)-SUM(X$5:X39)+SUM(W$5:W39)</f>
        <v>139056.27143784185</v>
      </c>
      <c r="AT39" s="22">
        <f t="shared" si="12"/>
        <v>0</v>
      </c>
      <c r="AU39" s="22">
        <f>IF(AB39=1,IF(Q39="tak",AT39,PMT(M39/12,P39+1-SUM(AB$5:AB39),AS39)),0)</f>
        <v>0</v>
      </c>
      <c r="AV39" s="22">
        <f t="shared" si="38"/>
        <v>0</v>
      </c>
      <c r="AW39" s="22">
        <f t="shared" si="13"/>
        <v>0</v>
      </c>
      <c r="AY39" s="23">
        <f>AY$5+SUM(BA$5:BA38)+SUM(W$5:W38)-SUM(X$5:X38)</f>
        <v>139056.27143784185</v>
      </c>
      <c r="AZ39" s="23">
        <f t="shared" si="14"/>
        <v>0</v>
      </c>
      <c r="BA39" s="23">
        <f t="shared" si="15"/>
        <v>0</v>
      </c>
      <c r="BB39" s="23">
        <f t="shared" si="39"/>
        <v>0</v>
      </c>
      <c r="BC39" s="23">
        <f t="shared" si="16"/>
        <v>0</v>
      </c>
      <c r="BE39" s="88">
        <f t="shared" si="17"/>
        <v>6.8400000000000002E-2</v>
      </c>
      <c r="BF39" s="89">
        <f>BE39+Dane_kredytowe!F$12</f>
        <v>9.8400000000000001E-2</v>
      </c>
      <c r="BG39" s="23">
        <f>BG$5+SUM(BH$5:BH38)+SUM(R$5:R38)-SUM(S$5:S38)</f>
        <v>300000</v>
      </c>
      <c r="BH39" s="22">
        <f t="shared" si="40"/>
        <v>0</v>
      </c>
      <c r="BI39" s="22">
        <f t="shared" si="41"/>
        <v>0</v>
      </c>
      <c r="BJ39" s="22">
        <f>IF(U39&lt;0,PMT(BF39/12,Dane_kredytowe!F$13-SUM(AB$5:AB39)+1,BG39),0)</f>
        <v>0</v>
      </c>
      <c r="BL39" s="23">
        <f>BL$5+SUM(BN$5:BN38)+SUM(R$5:R38)-SUM(S$5:S38)</f>
        <v>300000</v>
      </c>
      <c r="BM39" s="23">
        <f t="shared" si="18"/>
        <v>0</v>
      </c>
      <c r="BN39" s="23">
        <f t="shared" si="19"/>
        <v>0</v>
      </c>
      <c r="BO39" s="23">
        <f t="shared" si="20"/>
        <v>0</v>
      </c>
      <c r="BQ39" s="89">
        <f t="shared" si="42"/>
        <v>8.5100000000000009E-2</v>
      </c>
      <c r="BR39" s="23">
        <f>BR$5+SUM(BS$5:BS38)+SUM(R$5:R38)-SUM(S$5:S38)+SUM(BV$5:BV38)</f>
        <v>300000</v>
      </c>
      <c r="BS39" s="22">
        <f t="shared" si="49"/>
        <v>0</v>
      </c>
      <c r="BT39" s="22">
        <f t="shared" si="50"/>
        <v>0</v>
      </c>
      <c r="BU39" s="22">
        <f>IF(U39&lt;0,PMT(BQ39/12,Dane_kredytowe!F$13-SUM(AB$5:AB39)+1,BR39),0)</f>
        <v>0</v>
      </c>
      <c r="BV39" s="22">
        <f t="shared" si="43"/>
        <v>0</v>
      </c>
      <c r="BX39" s="23">
        <f>BX$5+SUM(BZ$5:BZ38)+SUM(R$5:R38)-SUM(S$5:S38)+SUM(CB$5,CB38)</f>
        <v>300000</v>
      </c>
      <c r="BY39" s="22">
        <f t="shared" si="21"/>
        <v>0</v>
      </c>
      <c r="BZ39" s="22">
        <f t="shared" si="22"/>
        <v>0</v>
      </c>
      <c r="CA39" s="22">
        <f t="shared" si="51"/>
        <v>0</v>
      </c>
      <c r="CB39" s="22">
        <f t="shared" si="52"/>
        <v>0</v>
      </c>
      <c r="CD39" s="22">
        <f>CD$5+SUM(CE$5:CE38)+SUM(R$5:R38)-SUM(S$5:S38)-SUM(CF$5:CF38)</f>
        <v>300000</v>
      </c>
      <c r="CE39" s="22">
        <f t="shared" si="44"/>
        <v>0</v>
      </c>
      <c r="CF39" s="22">
        <f t="shared" si="23"/>
        <v>0</v>
      </c>
      <c r="CG39" s="22">
        <f t="shared" si="45"/>
        <v>0</v>
      </c>
      <c r="CI39" s="89">
        <f t="shared" si="24"/>
        <v>0.85019999999999996</v>
      </c>
      <c r="CJ39" s="22">
        <f t="shared" si="25"/>
        <v>0</v>
      </c>
      <c r="CK39" s="15">
        <f t="shared" si="46"/>
        <v>0</v>
      </c>
      <c r="CM39" s="22">
        <f t="shared" si="47"/>
        <v>0</v>
      </c>
      <c r="CN39" s="15">
        <f t="shared" si="53"/>
        <v>0</v>
      </c>
    </row>
    <row r="40" spans="1:92">
      <c r="A40" s="25"/>
      <c r="B40" s="80">
        <v>38322</v>
      </c>
      <c r="C40" s="81">
        <f t="shared" si="0"/>
        <v>2.6987000000000001</v>
      </c>
      <c r="D40" s="82">
        <f t="shared" si="48"/>
        <v>2.7796610000000004</v>
      </c>
      <c r="E40" s="73">
        <f t="shared" si="26"/>
        <v>0</v>
      </c>
      <c r="F40" s="19">
        <f t="shared" si="27"/>
        <v>0</v>
      </c>
      <c r="G40" s="19">
        <f t="shared" si="28"/>
        <v>0</v>
      </c>
      <c r="H40" s="19">
        <f t="shared" si="29"/>
        <v>0</v>
      </c>
      <c r="I40" s="62"/>
      <c r="J40" s="15" t="str">
        <f t="shared" si="30"/>
        <v xml:space="preserve"> </v>
      </c>
      <c r="K40" s="15">
        <f>IF(B40&lt;=Dane_kredytowe!F$9,0,K39+1)</f>
        <v>0</v>
      </c>
      <c r="L40" s="83">
        <f t="shared" si="1"/>
        <v>7.3000000000000001E-3</v>
      </c>
      <c r="M40" s="84">
        <f>L40+Dane_kredytowe!F$12</f>
        <v>3.73E-2</v>
      </c>
      <c r="N40" s="79">
        <f>MAX(Dane_kredytowe!F$17+SUM(AA$5:AA39)-SUM(X$5:X40)+SUM(W$5:W40),0)</f>
        <v>95134.46</v>
      </c>
      <c r="O40" s="85">
        <f>MAX(Dane_kredytowe!F$8+SUM(V$5:V39)-SUM(S$5:S40)+SUM(R$5:R39),0)</f>
        <v>300000</v>
      </c>
      <c r="P40" s="67">
        <f t="shared" si="31"/>
        <v>360</v>
      </c>
      <c r="Q40" s="127" t="str">
        <f>IF(AND(K40&gt;0,K40&lt;=Dane_kredytowe!F$16),"tak","nie")</f>
        <v>nie</v>
      </c>
      <c r="R40" s="69"/>
      <c r="S40" s="86">
        <f>IF(Dane_kredytowe!F$19=B40,O39+V39,_xlfn.XLOOKUP(B40,Dane_kredytowe!M$9:M$18,Dane_kredytowe!N$9:N$18,0))</f>
        <v>0</v>
      </c>
      <c r="T40" s="71">
        <f t="shared" si="2"/>
        <v>0</v>
      </c>
      <c r="U40" s="72">
        <f>IF(Q40="tak",T40,IF(P40-SUM(AB$5:AB40)+1&gt;0,IF(Dane_kredytowe!F$9&lt;B40,IF(SUM(AB$5:AB40)-Dane_kredytowe!F$16+1&gt;0,PMT(M40/12,P40+1-SUM(AB$5:AB40),O40),T40),0),0))</f>
        <v>0</v>
      </c>
      <c r="V40" s="72">
        <f t="shared" si="32"/>
        <v>0</v>
      </c>
      <c r="W40" s="19" t="str">
        <f t="shared" si="33"/>
        <v xml:space="preserve"> </v>
      </c>
      <c r="X40" s="19">
        <f t="shared" si="3"/>
        <v>0</v>
      </c>
      <c r="Y40" s="73">
        <f t="shared" si="4"/>
        <v>0</v>
      </c>
      <c r="Z40" s="19">
        <f>IF(P40-SUM(AB$5:AB40)+1&gt;0,IF(Dane_kredytowe!F$9&lt;B40,IF(SUM(AB$5:AB40)-Dane_kredytowe!F$16+1&gt;0,PMT(M40/12,P40+1-SUM(AB$5:AB40),N40),Y40),0),0)</f>
        <v>0</v>
      </c>
      <c r="AA40" s="19">
        <f t="shared" si="34"/>
        <v>0</v>
      </c>
      <c r="AB40" s="20" t="str">
        <f>IF(AND(Dane_kredytowe!F$9&lt;B40,SUM(AB$5:AB39)&lt;P39),1," ")</f>
        <v xml:space="preserve"> </v>
      </c>
      <c r="AD40" s="75">
        <f>IF(OR(B40&lt;Dane_kredytowe!F$15,Dane_kredytowe!F$15=""),-F40+S40,0)</f>
        <v>0</v>
      </c>
      <c r="AE40" s="75">
        <f t="shared" si="5"/>
        <v>0</v>
      </c>
      <c r="AG40" s="22">
        <f>Dane_kredytowe!F$17-SUM(AI$5:AI39)+SUM(W40:W$42)-SUM(X40:X$42)</f>
        <v>95134.46</v>
      </c>
      <c r="AH40" s="22">
        <f t="shared" si="6"/>
        <v>0</v>
      </c>
      <c r="AI40" s="22">
        <f t="shared" si="7"/>
        <v>0</v>
      </c>
      <c r="AJ40" s="22">
        <f t="shared" si="35"/>
        <v>0</v>
      </c>
      <c r="AK40" s="22">
        <f t="shared" si="8"/>
        <v>0</v>
      </c>
      <c r="AL40" s="22">
        <f>Dane_kredytowe!F$8-SUM(AN$5:AN39)+SUM(R39:R$42)-SUM(S40:S$42)</f>
        <v>300000</v>
      </c>
      <c r="AM40" s="22">
        <f t="shared" si="9"/>
        <v>0</v>
      </c>
      <c r="AN40" s="22">
        <f t="shared" si="10"/>
        <v>0</v>
      </c>
      <c r="AO40" s="22">
        <f t="shared" si="36"/>
        <v>0</v>
      </c>
      <c r="AP40" s="22">
        <f t="shared" si="37"/>
        <v>0</v>
      </c>
      <c r="AR40" s="87">
        <f t="shared" si="11"/>
        <v>38322</v>
      </c>
      <c r="AS40" s="23">
        <f>AS$5+SUM(AV$5:AV39)-SUM(X$5:X40)+SUM(W$5:W40)</f>
        <v>139056.27143784185</v>
      </c>
      <c r="AT40" s="22">
        <f t="shared" si="12"/>
        <v>0</v>
      </c>
      <c r="AU40" s="22">
        <f>IF(AB40=1,IF(Q40="tak",AT40,PMT(M40/12,P40+1-SUM(AB$5:AB40),AS40)),0)</f>
        <v>0</v>
      </c>
      <c r="AV40" s="22">
        <f t="shared" si="38"/>
        <v>0</v>
      </c>
      <c r="AW40" s="22">
        <f t="shared" si="13"/>
        <v>0</v>
      </c>
      <c r="AY40" s="23">
        <f>AY$5+SUM(BA$5:BA39)+SUM(W$5:W39)-SUM(X$5:X39)</f>
        <v>139056.27143784185</v>
      </c>
      <c r="AZ40" s="23">
        <f t="shared" si="14"/>
        <v>0</v>
      </c>
      <c r="BA40" s="23">
        <f t="shared" si="15"/>
        <v>0</v>
      </c>
      <c r="BB40" s="23">
        <f t="shared" si="39"/>
        <v>0</v>
      </c>
      <c r="BC40" s="23">
        <f t="shared" si="16"/>
        <v>0</v>
      </c>
      <c r="BE40" s="88">
        <f t="shared" si="17"/>
        <v>6.7599999999999993E-2</v>
      </c>
      <c r="BF40" s="89">
        <f>BE40+Dane_kredytowe!F$12</f>
        <v>9.7599999999999992E-2</v>
      </c>
      <c r="BG40" s="23">
        <f>BG$5+SUM(BH$5:BH39)+SUM(R$5:R39)-SUM(S$5:S39)</f>
        <v>300000</v>
      </c>
      <c r="BH40" s="22">
        <f t="shared" si="40"/>
        <v>0</v>
      </c>
      <c r="BI40" s="22">
        <f t="shared" si="41"/>
        <v>0</v>
      </c>
      <c r="BJ40" s="22">
        <f>IF(U40&lt;0,PMT(BF40/12,Dane_kredytowe!F$13-SUM(AB$5:AB40)+1,BG40),0)</f>
        <v>0</v>
      </c>
      <c r="BL40" s="23">
        <f>BL$5+SUM(BN$5:BN39)+SUM(R$5:R39)-SUM(S$5:S39)</f>
        <v>300000</v>
      </c>
      <c r="BM40" s="23">
        <f t="shared" si="18"/>
        <v>0</v>
      </c>
      <c r="BN40" s="23">
        <f t="shared" si="19"/>
        <v>0</v>
      </c>
      <c r="BO40" s="23">
        <f t="shared" si="20"/>
        <v>0</v>
      </c>
      <c r="BQ40" s="89">
        <f t="shared" si="42"/>
        <v>8.4299999999999986E-2</v>
      </c>
      <c r="BR40" s="23">
        <f>BR$5+SUM(BS$5:BS39)+SUM(R$5:R39)-SUM(S$5:S39)+SUM(BV$5:BV39)</f>
        <v>300000</v>
      </c>
      <c r="BS40" s="22">
        <f t="shared" si="49"/>
        <v>0</v>
      </c>
      <c r="BT40" s="22">
        <f t="shared" si="50"/>
        <v>0</v>
      </c>
      <c r="BU40" s="22">
        <f>IF(U40&lt;0,PMT(BQ40/12,Dane_kredytowe!F$13-SUM(AB$5:AB40)+1,BR40),0)</f>
        <v>0</v>
      </c>
      <c r="BV40" s="22">
        <f t="shared" si="43"/>
        <v>0</v>
      </c>
      <c r="BX40" s="23">
        <f>BX$5+SUM(BZ$5:BZ39)+SUM(R$5:R39)-SUM(S$5:S39)+SUM(CB$5,CB39)</f>
        <v>300000</v>
      </c>
      <c r="BY40" s="22">
        <f t="shared" si="21"/>
        <v>0</v>
      </c>
      <c r="BZ40" s="22">
        <f t="shared" si="22"/>
        <v>0</v>
      </c>
      <c r="CA40" s="22">
        <f t="shared" si="51"/>
        <v>0</v>
      </c>
      <c r="CB40" s="22">
        <f t="shared" si="52"/>
        <v>0</v>
      </c>
      <c r="CD40" s="22">
        <f>CD$5+SUM(CE$5:CE39)+SUM(R$5:R39)-SUM(S$5:S39)-SUM(CF$5:CF39)</f>
        <v>300000</v>
      </c>
      <c r="CE40" s="22">
        <f t="shared" si="44"/>
        <v>0</v>
      </c>
      <c r="CF40" s="22">
        <f t="shared" si="23"/>
        <v>0</v>
      </c>
      <c r="CG40" s="22">
        <f t="shared" si="45"/>
        <v>0</v>
      </c>
      <c r="CI40" s="89">
        <f t="shared" si="24"/>
        <v>0.84840000000000004</v>
      </c>
      <c r="CJ40" s="22">
        <f t="shared" si="25"/>
        <v>0</v>
      </c>
      <c r="CK40" s="15">
        <f t="shared" si="46"/>
        <v>0</v>
      </c>
      <c r="CM40" s="22">
        <f t="shared" si="47"/>
        <v>0</v>
      </c>
      <c r="CN40" s="15">
        <f t="shared" si="53"/>
        <v>0</v>
      </c>
    </row>
    <row r="41" spans="1:92">
      <c r="A41" s="25">
        <v>2005</v>
      </c>
      <c r="B41" s="80">
        <v>38353</v>
      </c>
      <c r="C41" s="81">
        <f t="shared" si="0"/>
        <v>2.6389999999999998</v>
      </c>
      <c r="D41" s="82">
        <f t="shared" si="48"/>
        <v>2.7181699999999998</v>
      </c>
      <c r="E41" s="73">
        <f t="shared" si="26"/>
        <v>0</v>
      </c>
      <c r="F41" s="19">
        <f t="shared" si="27"/>
        <v>0</v>
      </c>
      <c r="G41" s="19">
        <f t="shared" si="28"/>
        <v>0</v>
      </c>
      <c r="H41" s="19">
        <f t="shared" si="29"/>
        <v>0</v>
      </c>
      <c r="I41" s="62"/>
      <c r="J41" s="15" t="str">
        <f t="shared" si="30"/>
        <v xml:space="preserve"> </v>
      </c>
      <c r="K41" s="15">
        <f>IF(B41&lt;=Dane_kredytowe!F$9,0,K40+1)</f>
        <v>0</v>
      </c>
      <c r="L41" s="83">
        <f t="shared" si="1"/>
        <v>7.1000000000000004E-3</v>
      </c>
      <c r="M41" s="84">
        <f>L41+Dane_kredytowe!F$12</f>
        <v>3.7100000000000001E-2</v>
      </c>
      <c r="N41" s="79">
        <f>MAX(Dane_kredytowe!F$17+SUM(AA$5:AA40)-SUM(X$5:X41)+SUM(W$5:W41),0)</f>
        <v>95134.46</v>
      </c>
      <c r="O41" s="85">
        <f>MAX(Dane_kredytowe!F$8+SUM(V$5:V40)-SUM(S$5:S41)+SUM(R$5:R40),0)</f>
        <v>300000</v>
      </c>
      <c r="P41" s="67">
        <f t="shared" si="31"/>
        <v>360</v>
      </c>
      <c r="Q41" s="127" t="str">
        <f>IF(AND(K41&gt;0,K41&lt;=Dane_kredytowe!F$16),"tak","nie")</f>
        <v>nie</v>
      </c>
      <c r="R41" s="69"/>
      <c r="S41" s="86">
        <f>IF(Dane_kredytowe!F$19=B41,O40+V40,_xlfn.XLOOKUP(B41,Dane_kredytowe!M$9:M$18,Dane_kredytowe!N$9:N$18,0))</f>
        <v>0</v>
      </c>
      <c r="T41" s="71">
        <f t="shared" si="2"/>
        <v>0</v>
      </c>
      <c r="U41" s="72">
        <f>IF(Q41="tak",T41,IF(P41-SUM(AB$5:AB41)+1&gt;0,IF(Dane_kredytowe!F$9&lt;B41,IF(SUM(AB$5:AB41)-Dane_kredytowe!F$16+1&gt;0,PMT(M41/12,P41+1-SUM(AB$5:AB41),O41),T41),0),0))</f>
        <v>0</v>
      </c>
      <c r="V41" s="72">
        <f t="shared" si="32"/>
        <v>0</v>
      </c>
      <c r="W41" s="19" t="str">
        <f t="shared" si="33"/>
        <v xml:space="preserve"> </v>
      </c>
      <c r="X41" s="19">
        <f t="shared" si="3"/>
        <v>0</v>
      </c>
      <c r="Y41" s="73">
        <f t="shared" si="4"/>
        <v>0</v>
      </c>
      <c r="Z41" s="19">
        <f>IF(P41-SUM(AB$5:AB41)+1&gt;0,IF(Dane_kredytowe!F$9&lt;B41,IF(SUM(AB$5:AB41)-Dane_kredytowe!F$16+1&gt;0,PMT(M41/12,P41+1-SUM(AB$5:AB41),N41),Y41),0),0)</f>
        <v>0</v>
      </c>
      <c r="AA41" s="19">
        <f t="shared" si="34"/>
        <v>0</v>
      </c>
      <c r="AB41" s="20" t="str">
        <f>IF(AND(Dane_kredytowe!F$9&lt;B41,SUM(AB$5:AB40)&lt;P40),1," ")</f>
        <v xml:space="preserve"> </v>
      </c>
      <c r="AD41" s="75">
        <f>IF(OR(B41&lt;Dane_kredytowe!F$15,Dane_kredytowe!F$15=""),-F41+S41,0)</f>
        <v>0</v>
      </c>
      <c r="AE41" s="75">
        <f t="shared" si="5"/>
        <v>0</v>
      </c>
      <c r="AG41" s="22">
        <f>Dane_kredytowe!F$17-SUM(AI$5:AI40)+SUM(W41:W$42)-SUM(X41:X$42)</f>
        <v>95134.46</v>
      </c>
      <c r="AH41" s="22">
        <f t="shared" si="6"/>
        <v>0</v>
      </c>
      <c r="AI41" s="22">
        <f t="shared" si="7"/>
        <v>0</v>
      </c>
      <c r="AJ41" s="22">
        <f t="shared" si="35"/>
        <v>0</v>
      </c>
      <c r="AK41" s="22">
        <f t="shared" si="8"/>
        <v>0</v>
      </c>
      <c r="AL41" s="22">
        <f>Dane_kredytowe!F$8-SUM(AN$5:AN40)+SUM(R40:R$42)-SUM(S41:S$42)</f>
        <v>300000</v>
      </c>
      <c r="AM41" s="22">
        <f t="shared" si="9"/>
        <v>0</v>
      </c>
      <c r="AN41" s="22">
        <f t="shared" si="10"/>
        <v>0</v>
      </c>
      <c r="AO41" s="22">
        <f t="shared" si="36"/>
        <v>0</v>
      </c>
      <c r="AP41" s="22">
        <f t="shared" si="37"/>
        <v>0</v>
      </c>
      <c r="AR41" s="87">
        <f t="shared" si="11"/>
        <v>38353</v>
      </c>
      <c r="AS41" s="23">
        <f>AS$5+SUM(AV$5:AV40)-SUM(X$5:X41)+SUM(W$5:W41)</f>
        <v>139056.27143784185</v>
      </c>
      <c r="AT41" s="22">
        <f t="shared" si="12"/>
        <v>0</v>
      </c>
      <c r="AU41" s="22">
        <f>IF(AB41=1,IF(Q41="tak",AT41,PMT(M41/12,P41+1-SUM(AB$5:AB41),AS41)),0)</f>
        <v>0</v>
      </c>
      <c r="AV41" s="22">
        <f t="shared" si="38"/>
        <v>0</v>
      </c>
      <c r="AW41" s="22">
        <f t="shared" si="13"/>
        <v>0</v>
      </c>
      <c r="AY41" s="23">
        <f>AY$5+SUM(BA$5:BA40)+SUM(W$5:W40)-SUM(X$5:X40)</f>
        <v>139056.27143784185</v>
      </c>
      <c r="AZ41" s="23">
        <f t="shared" si="14"/>
        <v>0</v>
      </c>
      <c r="BA41" s="23">
        <f t="shared" si="15"/>
        <v>0</v>
      </c>
      <c r="BB41" s="23">
        <f t="shared" si="39"/>
        <v>0</v>
      </c>
      <c r="BC41" s="23">
        <f t="shared" si="16"/>
        <v>0</v>
      </c>
      <c r="BE41" s="88">
        <f t="shared" si="17"/>
        <v>6.6299999999999998E-2</v>
      </c>
      <c r="BF41" s="89">
        <f>BE41+Dane_kredytowe!F$12</f>
        <v>9.6299999999999997E-2</v>
      </c>
      <c r="BG41" s="23">
        <f>BG$5+SUM(BH$5:BH40)+SUM(R$5:R40)-SUM(S$5:S40)</f>
        <v>300000</v>
      </c>
      <c r="BH41" s="22">
        <f t="shared" si="40"/>
        <v>0</v>
      </c>
      <c r="BI41" s="22">
        <f t="shared" si="41"/>
        <v>0</v>
      </c>
      <c r="BJ41" s="22">
        <f>IF(U41&lt;0,PMT(BF41/12,Dane_kredytowe!F$13-SUM(AB$5:AB41)+1,BG41),0)</f>
        <v>0</v>
      </c>
      <c r="BL41" s="23">
        <f>BL$5+SUM(BN$5:BN40)+SUM(R$5:R40)-SUM(S$5:S40)</f>
        <v>300000</v>
      </c>
      <c r="BM41" s="23">
        <f t="shared" si="18"/>
        <v>0</v>
      </c>
      <c r="BN41" s="23">
        <f t="shared" si="19"/>
        <v>0</v>
      </c>
      <c r="BO41" s="23">
        <f t="shared" si="20"/>
        <v>0</v>
      </c>
      <c r="BQ41" s="89">
        <f t="shared" si="42"/>
        <v>8.299999999999999E-2</v>
      </c>
      <c r="BR41" s="23">
        <f>BR$5+SUM(BS$5:BS40)+SUM(R$5:R40)-SUM(S$5:S40)+SUM(BV$5:BV40)</f>
        <v>300000</v>
      </c>
      <c r="BS41" s="22">
        <f t="shared" si="49"/>
        <v>0</v>
      </c>
      <c r="BT41" s="22">
        <f t="shared" si="50"/>
        <v>0</v>
      </c>
      <c r="BU41" s="22">
        <f>IF(U41&lt;0,PMT(BQ41/12,Dane_kredytowe!F$13-SUM(AB$5:AB41)+1,BR41),0)</f>
        <v>0</v>
      </c>
      <c r="BV41" s="22">
        <f t="shared" si="43"/>
        <v>0</v>
      </c>
      <c r="BX41" s="23">
        <f>BX$5+SUM(BZ$5:BZ40)+SUM(R$5:R40)-SUM(S$5:S40)+SUM(CB$5,CB40)</f>
        <v>300000</v>
      </c>
      <c r="BY41" s="22">
        <f t="shared" si="21"/>
        <v>0</v>
      </c>
      <c r="BZ41" s="22">
        <f t="shared" si="22"/>
        <v>0</v>
      </c>
      <c r="CA41" s="22">
        <f t="shared" si="51"/>
        <v>0</v>
      </c>
      <c r="CB41" s="22">
        <f t="shared" si="52"/>
        <v>0</v>
      </c>
      <c r="CD41" s="22">
        <f>CD$5+SUM(CE$5:CE40)+SUM(R$5:R40)-SUM(S$5:S40)-SUM(CF$5:CF40)</f>
        <v>300000</v>
      </c>
      <c r="CE41" s="22">
        <f t="shared" si="44"/>
        <v>0</v>
      </c>
      <c r="CF41" s="22">
        <f t="shared" si="23"/>
        <v>0</v>
      </c>
      <c r="CG41" s="22">
        <f t="shared" si="45"/>
        <v>0</v>
      </c>
      <c r="CI41" s="89">
        <f t="shared" si="24"/>
        <v>0.84650000000000003</v>
      </c>
      <c r="CJ41" s="22">
        <f t="shared" si="25"/>
        <v>0</v>
      </c>
      <c r="CK41" s="15">
        <f t="shared" si="46"/>
        <v>0</v>
      </c>
      <c r="CM41" s="22">
        <f t="shared" si="47"/>
        <v>0</v>
      </c>
      <c r="CN41" s="15">
        <f t="shared" si="53"/>
        <v>0</v>
      </c>
    </row>
    <row r="42" spans="1:92">
      <c r="A42" s="25"/>
      <c r="B42" s="80">
        <v>38384</v>
      </c>
      <c r="C42" s="81">
        <f t="shared" si="0"/>
        <v>2.5697999999999999</v>
      </c>
      <c r="D42" s="82">
        <f t="shared" si="48"/>
        <v>2.6468940000000001</v>
      </c>
      <c r="E42" s="73">
        <f t="shared" si="26"/>
        <v>0</v>
      </c>
      <c r="F42" s="19">
        <f t="shared" si="27"/>
        <v>0</v>
      </c>
      <c r="G42" s="19">
        <f t="shared" si="28"/>
        <v>0</v>
      </c>
      <c r="H42" s="19">
        <f t="shared" si="29"/>
        <v>0</v>
      </c>
      <c r="I42" s="62"/>
      <c r="J42" s="15" t="str">
        <f t="shared" si="30"/>
        <v xml:space="preserve"> </v>
      </c>
      <c r="K42" s="15">
        <f>IF(B42&lt;=Dane_kredytowe!F$9,0,K41+1)</f>
        <v>0</v>
      </c>
      <c r="L42" s="83">
        <f t="shared" si="1"/>
        <v>7.4999999999999997E-3</v>
      </c>
      <c r="M42" s="84">
        <f>L42+Dane_kredytowe!F$12</f>
        <v>3.7499999999999999E-2</v>
      </c>
      <c r="N42" s="79">
        <f>MAX(Dane_kredytowe!F$17+SUM(AA$5:AA41)-SUM(X$5:X42)+SUM(W$5:W42),0)</f>
        <v>95134.46</v>
      </c>
      <c r="O42" s="85">
        <f>MAX(Dane_kredytowe!F$8+SUM(V$5:V41)-SUM(S$5:S42)+SUM(R$5:R41),0)</f>
        <v>300000</v>
      </c>
      <c r="P42" s="67">
        <f t="shared" si="31"/>
        <v>360</v>
      </c>
      <c r="Q42" s="127" t="str">
        <f>IF(AND(K42&gt;0,K42&lt;=Dane_kredytowe!F$16),"tak","nie")</f>
        <v>nie</v>
      </c>
      <c r="R42" s="69"/>
      <c r="S42" s="86">
        <f>IF(Dane_kredytowe!F$19=B42,O41+V41,_xlfn.XLOOKUP(B42,Dane_kredytowe!M$9:M$18,Dane_kredytowe!N$9:N$18,0))</f>
        <v>0</v>
      </c>
      <c r="T42" s="71">
        <f t="shared" si="2"/>
        <v>0</v>
      </c>
      <c r="U42" s="72">
        <f>IF(Q42="tak",T42,IF(P42-SUM(AB$5:AB42)+1&gt;0,IF(Dane_kredytowe!F$9&lt;B42,IF(SUM(AB$5:AB42)-Dane_kredytowe!F$16+1&gt;0,PMT(M42/12,P42+1-SUM(AB$5:AB42),O42),T42),0),0))</f>
        <v>0</v>
      </c>
      <c r="V42" s="72">
        <f t="shared" si="32"/>
        <v>0</v>
      </c>
      <c r="W42" s="19" t="str">
        <f t="shared" si="33"/>
        <v xml:space="preserve"> </v>
      </c>
      <c r="X42" s="19">
        <f t="shared" si="3"/>
        <v>0</v>
      </c>
      <c r="Y42" s="73">
        <f t="shared" si="4"/>
        <v>0</v>
      </c>
      <c r="Z42" s="19">
        <f>IF(P42-SUM(AB$5:AB42)+1&gt;0,IF(Dane_kredytowe!F$9&lt;B42,IF(SUM(AB$5:AB42)-Dane_kredytowe!F$16+1&gt;0,PMT(M42/12,P42+1-SUM(AB$5:AB42),N42),Y42),0),0)</f>
        <v>0</v>
      </c>
      <c r="AA42" s="19">
        <f t="shared" si="34"/>
        <v>0</v>
      </c>
      <c r="AB42" s="20" t="str">
        <f>IF(AND(Dane_kredytowe!F$9&lt;B42,SUM(AB$5:AB41)&lt;P41),1," ")</f>
        <v xml:space="preserve"> </v>
      </c>
      <c r="AD42" s="75">
        <f>IF(OR(B42&lt;Dane_kredytowe!F$15,Dane_kredytowe!F$15=""),-F42+S42,0)</f>
        <v>0</v>
      </c>
      <c r="AE42" s="75">
        <f t="shared" si="5"/>
        <v>0</v>
      </c>
      <c r="AG42" s="22">
        <f>Dane_kredytowe!F$17-SUM(AI$5:AI41)+SUM(W42:W$42)-SUM(X42:X$42)</f>
        <v>95134.46</v>
      </c>
      <c r="AH42" s="22">
        <f t="shared" si="6"/>
        <v>0</v>
      </c>
      <c r="AI42" s="22">
        <f t="shared" si="7"/>
        <v>0</v>
      </c>
      <c r="AJ42" s="22">
        <f t="shared" si="35"/>
        <v>0</v>
      </c>
      <c r="AK42" s="22">
        <f t="shared" si="8"/>
        <v>0</v>
      </c>
      <c r="AL42" s="22">
        <f>Dane_kredytowe!F$8-SUM(AN$5:AN41)+SUM(R41:R$42)-SUM(S42:S$42)</f>
        <v>300000</v>
      </c>
      <c r="AM42" s="22">
        <f t="shared" si="9"/>
        <v>0</v>
      </c>
      <c r="AN42" s="22">
        <f t="shared" si="10"/>
        <v>0</v>
      </c>
      <c r="AO42" s="22">
        <f t="shared" si="36"/>
        <v>0</v>
      </c>
      <c r="AP42" s="22">
        <f t="shared" si="37"/>
        <v>0</v>
      </c>
      <c r="AR42" s="87">
        <f t="shared" si="11"/>
        <v>38384</v>
      </c>
      <c r="AS42" s="23">
        <f>AS$5+SUM(AV$5:AV41)-SUM(X$5:X42)+SUM(W$5:W42)</f>
        <v>139056.27143784185</v>
      </c>
      <c r="AT42" s="22">
        <f t="shared" si="12"/>
        <v>0</v>
      </c>
      <c r="AU42" s="22">
        <f>IF(AB42=1,IF(Q42="tak",AT42,PMT(M42/12,P42+1-SUM(AB$5:AB42),AS42)),0)</f>
        <v>0</v>
      </c>
      <c r="AV42" s="22">
        <f t="shared" si="38"/>
        <v>0</v>
      </c>
      <c r="AW42" s="22">
        <f t="shared" si="13"/>
        <v>0</v>
      </c>
      <c r="AY42" s="23">
        <f>AY$5+SUM(BA$5:BA41)+SUM(W$5:W41)-SUM(X$5:X41)</f>
        <v>139056.27143784185</v>
      </c>
      <c r="AZ42" s="23">
        <f t="shared" si="14"/>
        <v>0</v>
      </c>
      <c r="BA42" s="23">
        <f t="shared" si="15"/>
        <v>0</v>
      </c>
      <c r="BB42" s="23">
        <f t="shared" si="39"/>
        <v>0</v>
      </c>
      <c r="BC42" s="23">
        <f t="shared" si="16"/>
        <v>0</v>
      </c>
      <c r="BE42" s="88">
        <f t="shared" si="17"/>
        <v>6.54E-2</v>
      </c>
      <c r="BF42" s="89">
        <f>BE42+Dane_kredytowe!F$12</f>
        <v>9.5399999999999999E-2</v>
      </c>
      <c r="BG42" s="23">
        <f>BG$5+SUM(BH$5:BH41)+SUM(R$5:R41)-SUM(S$5:S41)</f>
        <v>300000</v>
      </c>
      <c r="BH42" s="22">
        <f t="shared" si="40"/>
        <v>0</v>
      </c>
      <c r="BI42" s="22">
        <f t="shared" si="41"/>
        <v>0</v>
      </c>
      <c r="BJ42" s="22">
        <f>IF(U42&lt;0,PMT(BF42/12,Dane_kredytowe!F$13-SUM(AB$5:AB42)+1,BG42),0)</f>
        <v>0</v>
      </c>
      <c r="BL42" s="23">
        <f>BL$5+SUM(BN$5:BN41)+SUM(R$5:R41)-SUM(S$5:S41)</f>
        <v>300000</v>
      </c>
      <c r="BM42" s="23">
        <f t="shared" si="18"/>
        <v>0</v>
      </c>
      <c r="BN42" s="23">
        <f t="shared" si="19"/>
        <v>0</v>
      </c>
      <c r="BO42" s="23">
        <f t="shared" si="20"/>
        <v>0</v>
      </c>
      <c r="BQ42" s="89">
        <f t="shared" si="42"/>
        <v>8.2100000000000006E-2</v>
      </c>
      <c r="BR42" s="23">
        <f>BR$5+SUM(BS$5:BS41)+SUM(R$5:R41)-SUM(S$5:S41)+SUM(BV$5:BV41)</f>
        <v>300000</v>
      </c>
      <c r="BS42" s="22">
        <f t="shared" si="49"/>
        <v>0</v>
      </c>
      <c r="BT42" s="22">
        <f t="shared" si="50"/>
        <v>0</v>
      </c>
      <c r="BU42" s="22">
        <f>IF(U42&lt;0,PMT(BQ42/12,Dane_kredytowe!F$13-SUM(AB$5:AB42)+1,BR42),0)</f>
        <v>0</v>
      </c>
      <c r="BV42" s="22">
        <f t="shared" si="43"/>
        <v>0</v>
      </c>
      <c r="BX42" s="23">
        <f>BX$5+SUM(BZ$5:BZ41)+SUM(R$5:R41)-SUM(S$5:S41)+SUM(CB$5,CB41)</f>
        <v>300000</v>
      </c>
      <c r="BY42" s="22">
        <f t="shared" si="21"/>
        <v>0</v>
      </c>
      <c r="BZ42" s="22">
        <f t="shared" si="22"/>
        <v>0</v>
      </c>
      <c r="CA42" s="22">
        <f t="shared" si="51"/>
        <v>0</v>
      </c>
      <c r="CB42" s="22">
        <f t="shared" si="52"/>
        <v>0</v>
      </c>
      <c r="CD42" s="22">
        <f>CD$5+SUM(CE$5:CE41)+SUM(R$5:R41)-SUM(S$5:S41)-SUM(CF$5:CF41)</f>
        <v>300000</v>
      </c>
      <c r="CE42" s="22">
        <f t="shared" si="44"/>
        <v>0</v>
      </c>
      <c r="CF42" s="22">
        <f t="shared" si="23"/>
        <v>0</v>
      </c>
      <c r="CG42" s="22">
        <f t="shared" si="45"/>
        <v>0</v>
      </c>
      <c r="CI42" s="89">
        <f t="shared" si="24"/>
        <v>0.84840000000000004</v>
      </c>
      <c r="CJ42" s="22">
        <f t="shared" si="25"/>
        <v>0</v>
      </c>
      <c r="CK42" s="15">
        <f t="shared" si="46"/>
        <v>0</v>
      </c>
      <c r="CM42" s="22">
        <f t="shared" si="47"/>
        <v>0</v>
      </c>
      <c r="CN42" s="15">
        <f t="shared" si="53"/>
        <v>0</v>
      </c>
    </row>
    <row r="43" spans="1:92">
      <c r="A43" s="92"/>
      <c r="B43" s="80">
        <v>38412</v>
      </c>
      <c r="C43" s="81">
        <f t="shared" si="0"/>
        <v>2.5945</v>
      </c>
      <c r="D43" s="82">
        <f t="shared" si="48"/>
        <v>2.6723349999999999</v>
      </c>
      <c r="E43" s="73">
        <f t="shared" ref="E43:E105" si="54">Z43</f>
        <v>0</v>
      </c>
      <c r="F43" s="19">
        <f t="shared" ref="F43:F53" si="55">E43*D43</f>
        <v>0</v>
      </c>
      <c r="G43" s="19">
        <f t="shared" ref="G43:G105" si="56">U43</f>
        <v>0</v>
      </c>
      <c r="H43" s="19">
        <f t="shared" ref="H43:H53" si="57">G43-F43</f>
        <v>0</v>
      </c>
      <c r="I43" s="62"/>
      <c r="J43" s="15" t="str">
        <f t="shared" ref="J43:J72" si="58">IF(H43&lt;0,"Ze względu na spadek kursu CHF, rata jest korzystniejsza niż bez klauzuli indeksacyjnej"," ")</f>
        <v xml:space="preserve"> </v>
      </c>
      <c r="K43" s="15">
        <f>IF(B43&lt;=Dane_kredytowe!F$9,0,K42+1)</f>
        <v>0</v>
      </c>
      <c r="L43" s="83">
        <f t="shared" si="1"/>
        <v>7.5830000000000003E-3</v>
      </c>
      <c r="M43" s="84">
        <f>L43+Dane_kredytowe!F$12</f>
        <v>3.7582999999999998E-2</v>
      </c>
      <c r="N43" s="79">
        <f>MAX(Dane_kredytowe!F$17+SUM(AA$5:AA42)-SUM(X$5:X43)+SUM(W$5:W43),0)</f>
        <v>95134.46</v>
      </c>
      <c r="O43" s="85">
        <f>MAX(Dane_kredytowe!F$8+SUM(V$5:V42)-SUM(S$5:S43)+SUM(R$5:R42),0)</f>
        <v>300000</v>
      </c>
      <c r="P43" s="67">
        <f t="shared" ref="P43:P106" si="59">P42</f>
        <v>360</v>
      </c>
      <c r="Q43" s="127" t="str">
        <f>IF(AND(K43&gt;0,K43&lt;=Dane_kredytowe!F$16),"tak","nie")</f>
        <v>nie</v>
      </c>
      <c r="R43" s="69"/>
      <c r="S43" s="86">
        <f>IF(Dane_kredytowe!F$19=B43,O42+V42,_xlfn.XLOOKUP(B43,Dane_kredytowe!M$9:M$18,Dane_kredytowe!N$9:N$18,0))</f>
        <v>0</v>
      </c>
      <c r="T43" s="71">
        <f t="shared" si="2"/>
        <v>0</v>
      </c>
      <c r="U43" s="72">
        <f>IF(Q43="tak",T43,IF(P43-SUM(AB$5:AB43)+1&gt;0,IF(Dane_kredytowe!F$9&lt;B43,IF(SUM(AB$5:AB43)-Dane_kredytowe!F$16+1&gt;0,PMT(M43/12,P43+1-SUM(AB$5:AB43),O43),T43),0),0))</f>
        <v>0</v>
      </c>
      <c r="V43" s="72">
        <f t="shared" si="32"/>
        <v>0</v>
      </c>
      <c r="W43" s="19" t="str">
        <f t="shared" si="33"/>
        <v xml:space="preserve"> </v>
      </c>
      <c r="X43" s="19">
        <f t="shared" si="3"/>
        <v>0</v>
      </c>
      <c r="Y43" s="73">
        <f t="shared" si="4"/>
        <v>0</v>
      </c>
      <c r="Z43" s="19">
        <f>IF(P43-SUM(AB$5:AB43)+1&gt;0,IF(Dane_kredytowe!F$9&lt;B43,IF(SUM(AB$5:AB43)-Dane_kredytowe!F$16+1&gt;0,PMT(M43/12,P43+1-SUM(AB$5:AB43),N43),Y43),0),0)</f>
        <v>0</v>
      </c>
      <c r="AA43" s="19">
        <f t="shared" ref="AA43:AA51" si="60">Z43-Y43</f>
        <v>0</v>
      </c>
      <c r="AB43" s="20" t="str">
        <f>IF(AND(Dane_kredytowe!F$9&lt;B43,SUM(AB$5:AB42)&lt;P42),1," ")</f>
        <v xml:space="preserve"> </v>
      </c>
      <c r="AD43" s="75">
        <f>IF(OR(B43&lt;Dane_kredytowe!F$15,Dane_kredytowe!F$15=""),-F43+S43,0)</f>
        <v>0</v>
      </c>
      <c r="AE43" s="75">
        <f t="shared" si="5"/>
        <v>0</v>
      </c>
      <c r="AG43" s="22">
        <f>Dane_kredytowe!F$17-SUM(AI$5:AI42)+SUM(W$42:W43)-SUM(X$42:X43)</f>
        <v>95134.46</v>
      </c>
      <c r="AH43" s="22">
        <f t="shared" si="6"/>
        <v>0</v>
      </c>
      <c r="AI43" s="22">
        <f t="shared" si="7"/>
        <v>0</v>
      </c>
      <c r="AJ43" s="22">
        <f t="shared" ref="AJ43:AJ106" si="61">AI43+AH43</f>
        <v>0</v>
      </c>
      <c r="AK43" s="22">
        <f t="shared" si="8"/>
        <v>0</v>
      </c>
      <c r="AL43" s="22">
        <f>Dane_kredytowe!F$8-SUM(AN$5:AN42)+SUM(R42:R$42)-SUM(S$42:S43)</f>
        <v>300000</v>
      </c>
      <c r="AM43" s="22">
        <f t="shared" si="9"/>
        <v>0</v>
      </c>
      <c r="AN43" s="22">
        <f t="shared" si="10"/>
        <v>0</v>
      </c>
      <c r="AO43" s="22">
        <f t="shared" ref="AO43:AO105" si="62">AN43+AM43</f>
        <v>0</v>
      </c>
      <c r="AP43" s="22">
        <f t="shared" ref="AP43:AP105" si="63">AK43-AO43</f>
        <v>0</v>
      </c>
      <c r="AR43" s="87">
        <f t="shared" si="11"/>
        <v>38412</v>
      </c>
      <c r="AS43" s="23">
        <f>AS$5+SUM(AV$5:AV42)-SUM(X$5:X43)+SUM(W$5:W43)</f>
        <v>139056.27143784185</v>
      </c>
      <c r="AT43" s="22">
        <f t="shared" si="12"/>
        <v>0</v>
      </c>
      <c r="AU43" s="22">
        <f>IF(AB43=1,IF(Q43="tak",AT43,PMT(M43/12,P43+1-SUM(AB$5:AB43),AS43)),0)</f>
        <v>0</v>
      </c>
      <c r="AV43" s="22">
        <f t="shared" ref="AV43:AV105" si="64">AU43-AT43</f>
        <v>0</v>
      </c>
      <c r="AW43" s="22">
        <f t="shared" si="13"/>
        <v>0</v>
      </c>
      <c r="AY43" s="23">
        <f>AY$5+SUM(BA$5:BA42)+SUM(W$5:W42)-SUM(X$5:X42)</f>
        <v>139056.27143784185</v>
      </c>
      <c r="AZ43" s="23">
        <f t="shared" si="14"/>
        <v>0</v>
      </c>
      <c r="BA43" s="23">
        <f t="shared" si="15"/>
        <v>0</v>
      </c>
      <c r="BB43" s="23">
        <f t="shared" ref="BB43:BB105" si="65">BA43+AZ43</f>
        <v>0</v>
      </c>
      <c r="BC43" s="23">
        <f t="shared" si="16"/>
        <v>0</v>
      </c>
      <c r="BE43" s="88">
        <f t="shared" si="17"/>
        <v>6.1499999999999999E-2</v>
      </c>
      <c r="BF43" s="89">
        <f>BE43+Dane_kredytowe!F$12</f>
        <v>9.1499999999999998E-2</v>
      </c>
      <c r="BG43" s="23">
        <f>BG$5+SUM(BH$5:BH42)+SUM(R$5:R42)-SUM(S$5:S42)</f>
        <v>300000</v>
      </c>
      <c r="BH43" s="22">
        <f t="shared" ref="BH43:BH51" si="66">IF(BJ43&lt;0,BJ43-BI43,0)</f>
        <v>0</v>
      </c>
      <c r="BI43" s="22">
        <f t="shared" ref="BI43:BI105" si="67">IF(BJ43&lt;0,-BG43*BF43/12,0)</f>
        <v>0</v>
      </c>
      <c r="BJ43" s="22">
        <f>IF(U43&lt;0,PMT(BF43/12,Dane_kredytowe!F$13-SUM(AB$5:AB43)+1,BG43),0)</f>
        <v>0</v>
      </c>
      <c r="BL43" s="23">
        <f>BL$5+SUM(BN$5:BN42)+SUM(R$5:R42)-SUM(S$5:S42)</f>
        <v>300000</v>
      </c>
      <c r="BM43" s="23">
        <f t="shared" si="18"/>
        <v>0</v>
      </c>
      <c r="BN43" s="23">
        <f t="shared" si="19"/>
        <v>0</v>
      </c>
      <c r="BO43" s="23">
        <f t="shared" si="20"/>
        <v>0</v>
      </c>
      <c r="BQ43" s="89">
        <f t="shared" si="42"/>
        <v>7.8199999999999992E-2</v>
      </c>
      <c r="BR43" s="23">
        <f>BR$5+SUM(BS$5:BS42)+SUM(R$5:R42)-SUM(S$5:S42)+SUM(BV$5:BV42)</f>
        <v>300000</v>
      </c>
      <c r="BS43" s="22">
        <f t="shared" si="49"/>
        <v>0</v>
      </c>
      <c r="BT43" s="22">
        <f t="shared" si="50"/>
        <v>0</v>
      </c>
      <c r="BU43" s="22">
        <f>IF(U43&lt;0,PMT(BQ43/12,Dane_kredytowe!F$13-SUM(AB$5:AB43)+1,BR43),0)</f>
        <v>0</v>
      </c>
      <c r="BV43" s="22">
        <f t="shared" si="43"/>
        <v>0</v>
      </c>
      <c r="BX43" s="23">
        <f>BX$5+SUM(BZ$5:BZ42)+SUM(R$5:R42)-SUM(S$5:S42)+SUM(CB$5,CB42)</f>
        <v>300000</v>
      </c>
      <c r="BY43" s="22">
        <f t="shared" si="21"/>
        <v>0</v>
      </c>
      <c r="BZ43" s="22">
        <f t="shared" si="22"/>
        <v>0</v>
      </c>
      <c r="CA43" s="22">
        <f t="shared" si="51"/>
        <v>0</v>
      </c>
      <c r="CB43" s="22">
        <f t="shared" si="52"/>
        <v>0</v>
      </c>
      <c r="CD43" s="22">
        <f>CD$5+SUM(CE$5:CE42)+SUM(R$5:R42)-SUM(S$5:S42)-SUM(CF$5:CF42)</f>
        <v>300000</v>
      </c>
      <c r="CE43" s="22">
        <f t="shared" si="44"/>
        <v>0</v>
      </c>
      <c r="CF43" s="22">
        <f t="shared" si="23"/>
        <v>0</v>
      </c>
      <c r="CG43" s="22">
        <f t="shared" si="45"/>
        <v>0</v>
      </c>
      <c r="CI43" s="89">
        <f t="shared" si="24"/>
        <v>0.84650000000000003</v>
      </c>
      <c r="CJ43" s="22">
        <f t="shared" si="25"/>
        <v>0</v>
      </c>
      <c r="CK43" s="15">
        <f t="shared" si="46"/>
        <v>0</v>
      </c>
      <c r="CM43" s="22">
        <f t="shared" si="47"/>
        <v>0</v>
      </c>
      <c r="CN43" s="15">
        <f t="shared" si="53"/>
        <v>0</v>
      </c>
    </row>
    <row r="44" spans="1:92">
      <c r="A44" s="25"/>
      <c r="B44" s="80">
        <v>38443</v>
      </c>
      <c r="C44" s="81">
        <f t="shared" si="0"/>
        <v>2.6821000000000002</v>
      </c>
      <c r="D44" s="82">
        <f t="shared" si="48"/>
        <v>2.7625630000000001</v>
      </c>
      <c r="E44" s="73">
        <f t="shared" si="54"/>
        <v>0</v>
      </c>
      <c r="F44" s="19">
        <f t="shared" si="55"/>
        <v>0</v>
      </c>
      <c r="G44" s="19">
        <f t="shared" si="56"/>
        <v>0</v>
      </c>
      <c r="H44" s="19">
        <f t="shared" si="57"/>
        <v>0</v>
      </c>
      <c r="I44" s="62"/>
      <c r="J44" s="15" t="str">
        <f t="shared" si="58"/>
        <v xml:space="preserve"> </v>
      </c>
      <c r="K44" s="15">
        <f>IF(B44&lt;=Dane_kredytowe!F$9,0,K43+1)</f>
        <v>0</v>
      </c>
      <c r="L44" s="83">
        <f t="shared" si="1"/>
        <v>7.7000000000000002E-3</v>
      </c>
      <c r="M44" s="84">
        <f>L44+Dane_kredytowe!F$12</f>
        <v>3.7699999999999997E-2</v>
      </c>
      <c r="N44" s="79">
        <f>MAX(Dane_kredytowe!F$17+SUM(AA$5:AA43)-SUM(X$5:X44)+SUM(W$5:W44),0)</f>
        <v>95134.46</v>
      </c>
      <c r="O44" s="85">
        <f>MAX(Dane_kredytowe!F$8+SUM(V$5:V43)-SUM(S$5:S44)+SUM(R$5:R43),0)</f>
        <v>300000</v>
      </c>
      <c r="P44" s="67">
        <f t="shared" si="59"/>
        <v>360</v>
      </c>
      <c r="Q44" s="127" t="str">
        <f>IF(AND(K44&gt;0,K44&lt;=Dane_kredytowe!F$16),"tak","nie")</f>
        <v>nie</v>
      </c>
      <c r="R44" s="69"/>
      <c r="S44" s="86">
        <f>IF(Dane_kredytowe!F$19=B44,O43+V43,_xlfn.XLOOKUP(B44,Dane_kredytowe!M$9:M$18,Dane_kredytowe!N$9:N$18,0))</f>
        <v>0</v>
      </c>
      <c r="T44" s="71">
        <f t="shared" si="2"/>
        <v>0</v>
      </c>
      <c r="U44" s="72">
        <f>IF(Q44="tak",T44,IF(P44-SUM(AB$5:AB44)+1&gt;0,IF(Dane_kredytowe!F$9&lt;B44,IF(SUM(AB$5:AB44)-Dane_kredytowe!F$16+1&gt;0,PMT(M44/12,P44+1-SUM(AB$5:AB44),O44),T44),0),0))</f>
        <v>0</v>
      </c>
      <c r="V44" s="72">
        <f t="shared" si="32"/>
        <v>0</v>
      </c>
      <c r="W44" s="19" t="str">
        <f t="shared" si="33"/>
        <v xml:space="preserve"> </v>
      </c>
      <c r="X44" s="19">
        <f t="shared" si="3"/>
        <v>0</v>
      </c>
      <c r="Y44" s="73">
        <f t="shared" si="4"/>
        <v>0</v>
      </c>
      <c r="Z44" s="19">
        <f>IF(P44-SUM(AB$5:AB44)+1&gt;0,IF(Dane_kredytowe!F$9&lt;B44,IF(SUM(AB$5:AB44)-Dane_kredytowe!F$16+1&gt;0,PMT(M44/12,P44+1-SUM(AB$5:AB44),N44),Y44),0),0)</f>
        <v>0</v>
      </c>
      <c r="AA44" s="19">
        <f t="shared" si="60"/>
        <v>0</v>
      </c>
      <c r="AB44" s="20" t="str">
        <f>IF(AND(Dane_kredytowe!F$9&lt;B44,SUM(AB$5:AB43)&lt;P43),1," ")</f>
        <v xml:space="preserve"> </v>
      </c>
      <c r="AD44" s="75">
        <f>IF(OR(B44&lt;Dane_kredytowe!F$15,Dane_kredytowe!F$15=""),-F44+S44,0)</f>
        <v>0</v>
      </c>
      <c r="AE44" s="75">
        <f t="shared" si="5"/>
        <v>0</v>
      </c>
      <c r="AG44" s="22">
        <f>Dane_kredytowe!F$17-SUM(AI$5:AI43)+SUM(W$42:W44)-SUM(X$42:X44)</f>
        <v>95134.46</v>
      </c>
      <c r="AH44" s="22">
        <f t="shared" si="6"/>
        <v>0</v>
      </c>
      <c r="AI44" s="22">
        <f t="shared" si="7"/>
        <v>0</v>
      </c>
      <c r="AJ44" s="22">
        <f t="shared" si="61"/>
        <v>0</v>
      </c>
      <c r="AK44" s="22">
        <f t="shared" si="8"/>
        <v>0</v>
      </c>
      <c r="AL44" s="22">
        <f>Dane_kredytowe!F$8-SUM(AN$5:AN43)+SUM(R$42:R43)-SUM(S$42:S44)</f>
        <v>300000</v>
      </c>
      <c r="AM44" s="22">
        <f t="shared" si="9"/>
        <v>0</v>
      </c>
      <c r="AN44" s="22">
        <f t="shared" si="10"/>
        <v>0</v>
      </c>
      <c r="AO44" s="22">
        <f t="shared" si="62"/>
        <v>0</v>
      </c>
      <c r="AP44" s="22">
        <f t="shared" si="63"/>
        <v>0</v>
      </c>
      <c r="AR44" s="87">
        <f t="shared" si="11"/>
        <v>38443</v>
      </c>
      <c r="AS44" s="23">
        <f>AS$5+SUM(AV$5:AV43)-SUM(X$5:X44)+SUM(W$5:W44)</f>
        <v>139056.27143784185</v>
      </c>
      <c r="AT44" s="22">
        <f t="shared" si="12"/>
        <v>0</v>
      </c>
      <c r="AU44" s="22">
        <f>IF(AB44=1,IF(Q44="tak",AT44,PMT(M44/12,P44+1-SUM(AB$5:AB44),AS44)),0)</f>
        <v>0</v>
      </c>
      <c r="AV44" s="22">
        <f t="shared" si="64"/>
        <v>0</v>
      </c>
      <c r="AW44" s="22">
        <f t="shared" si="13"/>
        <v>0</v>
      </c>
      <c r="AY44" s="23">
        <f>AY$5+SUM(BA$5:BA43)+SUM(W$5:W43)-SUM(X$5:X43)</f>
        <v>139056.27143784185</v>
      </c>
      <c r="AZ44" s="23">
        <f t="shared" si="14"/>
        <v>0</v>
      </c>
      <c r="BA44" s="23">
        <f t="shared" si="15"/>
        <v>0</v>
      </c>
      <c r="BB44" s="23">
        <f t="shared" si="65"/>
        <v>0</v>
      </c>
      <c r="BC44" s="23">
        <f t="shared" si="16"/>
        <v>0</v>
      </c>
      <c r="BE44" s="88">
        <f t="shared" si="17"/>
        <v>5.7799999999999997E-2</v>
      </c>
      <c r="BF44" s="89">
        <f>BE44+Dane_kredytowe!F$12</f>
        <v>8.7799999999999989E-2</v>
      </c>
      <c r="BG44" s="23">
        <f>BG$5+SUM(BH$5:BH43)+SUM(R$5:R43)-SUM(S$5:S43)</f>
        <v>300000</v>
      </c>
      <c r="BH44" s="22">
        <f t="shared" si="66"/>
        <v>0</v>
      </c>
      <c r="BI44" s="22">
        <f t="shared" si="67"/>
        <v>0</v>
      </c>
      <c r="BJ44" s="22">
        <f>IF(U44&lt;0,PMT(BF44/12,Dane_kredytowe!F$13-SUM(AB$5:AB44)+1,BG44),0)</f>
        <v>0</v>
      </c>
      <c r="BL44" s="23">
        <f>BL$5+SUM(BN$5:BN43)+SUM(R$5:R43)-SUM(S$5:S43)</f>
        <v>300000</v>
      </c>
      <c r="BM44" s="23">
        <f t="shared" si="18"/>
        <v>0</v>
      </c>
      <c r="BN44" s="23">
        <f t="shared" si="19"/>
        <v>0</v>
      </c>
      <c r="BO44" s="23">
        <f t="shared" si="20"/>
        <v>0</v>
      </c>
      <c r="BQ44" s="89">
        <f t="shared" si="42"/>
        <v>7.4499999999999997E-2</v>
      </c>
      <c r="BR44" s="23">
        <f>BR$5+SUM(BS$5:BS43)+SUM(R$5:R43)-SUM(S$5:S43)+SUM(BV$5:BV43)</f>
        <v>300000</v>
      </c>
      <c r="BS44" s="22">
        <f t="shared" si="49"/>
        <v>0</v>
      </c>
      <c r="BT44" s="22">
        <f t="shared" si="50"/>
        <v>0</v>
      </c>
      <c r="BU44" s="22">
        <f>IF(U44&lt;0,PMT(BQ44/12,Dane_kredytowe!F$13-SUM(AB$5:AB44)+1,BR44),0)</f>
        <v>0</v>
      </c>
      <c r="BV44" s="22">
        <f t="shared" si="43"/>
        <v>0</v>
      </c>
      <c r="BX44" s="23">
        <f>BX$5+SUM(BZ$5:BZ43)+SUM(R$5:R43)-SUM(S$5:S43)+SUM(CB$5,CB43)</f>
        <v>300000</v>
      </c>
      <c r="BY44" s="22">
        <f t="shared" si="21"/>
        <v>0</v>
      </c>
      <c r="BZ44" s="22">
        <f t="shared" si="22"/>
        <v>0</v>
      </c>
      <c r="CA44" s="22">
        <f t="shared" si="51"/>
        <v>0</v>
      </c>
      <c r="CB44" s="22">
        <f t="shared" si="52"/>
        <v>0</v>
      </c>
      <c r="CD44" s="22">
        <f>CD$5+SUM(CE$5:CE43)+SUM(R$5:R43)-SUM(S$5:S43)-SUM(CF$5:CF43)</f>
        <v>300000</v>
      </c>
      <c r="CE44" s="22">
        <f t="shared" si="44"/>
        <v>0</v>
      </c>
      <c r="CF44" s="22">
        <f t="shared" si="23"/>
        <v>0</v>
      </c>
      <c r="CG44" s="22">
        <f t="shared" si="45"/>
        <v>0</v>
      </c>
      <c r="CI44" s="89">
        <f t="shared" si="24"/>
        <v>0.83919999999999995</v>
      </c>
      <c r="CJ44" s="22">
        <f t="shared" si="25"/>
        <v>0</v>
      </c>
      <c r="CK44" s="15">
        <f t="shared" si="46"/>
        <v>0</v>
      </c>
      <c r="CM44" s="22">
        <f t="shared" si="47"/>
        <v>0</v>
      </c>
      <c r="CN44" s="15">
        <f t="shared" si="53"/>
        <v>0</v>
      </c>
    </row>
    <row r="45" spans="1:92">
      <c r="A45" s="25"/>
      <c r="B45" s="80">
        <v>38473</v>
      </c>
      <c r="C45" s="81">
        <f t="shared" si="0"/>
        <v>2.7075</v>
      </c>
      <c r="D45" s="82">
        <f t="shared" si="48"/>
        <v>2.7887249999999999</v>
      </c>
      <c r="E45" s="73">
        <f t="shared" si="54"/>
        <v>0</v>
      </c>
      <c r="F45" s="19">
        <f t="shared" si="55"/>
        <v>0</v>
      </c>
      <c r="G45" s="19">
        <f t="shared" si="56"/>
        <v>0</v>
      </c>
      <c r="H45" s="19">
        <f t="shared" si="57"/>
        <v>0</v>
      </c>
      <c r="I45" s="62"/>
      <c r="J45" s="15" t="str">
        <f t="shared" si="58"/>
        <v xml:space="preserve"> </v>
      </c>
      <c r="K45" s="15">
        <f>IF(B45&lt;=Dane_kredytowe!F$9,0,K44+1)</f>
        <v>0</v>
      </c>
      <c r="L45" s="83">
        <f t="shared" si="1"/>
        <v>7.6E-3</v>
      </c>
      <c r="M45" s="84">
        <f>L45+Dane_kredytowe!F$12</f>
        <v>3.7600000000000001E-2</v>
      </c>
      <c r="N45" s="79">
        <f>MAX(Dane_kredytowe!F$17+SUM(AA$5:AA44)-SUM(X$5:X45)+SUM(W$5:W45),0)</f>
        <v>95134.46</v>
      </c>
      <c r="O45" s="85">
        <f>MAX(Dane_kredytowe!F$8+SUM(V$5:V44)-SUM(S$5:S45)+SUM(R$5:R44),0)</f>
        <v>300000</v>
      </c>
      <c r="P45" s="67">
        <f t="shared" si="59"/>
        <v>360</v>
      </c>
      <c r="Q45" s="127" t="str">
        <f>IF(AND(K45&gt;0,K45&lt;=Dane_kredytowe!F$16),"tak","nie")</f>
        <v>nie</v>
      </c>
      <c r="R45" s="69"/>
      <c r="S45" s="86">
        <f>IF(Dane_kredytowe!F$19=B45,O44+V44,_xlfn.XLOOKUP(B45,Dane_kredytowe!M$9:M$18,Dane_kredytowe!N$9:N$18,0))</f>
        <v>0</v>
      </c>
      <c r="T45" s="71">
        <f t="shared" si="2"/>
        <v>0</v>
      </c>
      <c r="U45" s="72">
        <f>IF(Q45="tak",T45,IF(P45-SUM(AB$5:AB45)+1&gt;0,IF(Dane_kredytowe!F$9&lt;B45,IF(SUM(AB$5:AB45)-Dane_kredytowe!F$16+1&gt;0,PMT(M45/12,P45+1-SUM(AB$5:AB45),O45),T45),0),0))</f>
        <v>0</v>
      </c>
      <c r="V45" s="72">
        <f t="shared" si="32"/>
        <v>0</v>
      </c>
      <c r="W45" s="19" t="str">
        <f t="shared" si="33"/>
        <v xml:space="preserve"> </v>
      </c>
      <c r="X45" s="19">
        <f t="shared" si="3"/>
        <v>0</v>
      </c>
      <c r="Y45" s="73">
        <f t="shared" si="4"/>
        <v>0</v>
      </c>
      <c r="Z45" s="19">
        <f>IF(P45-SUM(AB$5:AB45)+1&gt;0,IF(Dane_kredytowe!F$9&lt;B45,IF(SUM(AB$5:AB45)-Dane_kredytowe!F$16+1&gt;0,PMT(M45/12,P45+1-SUM(AB$5:AB45),N45),Y45),0),0)</f>
        <v>0</v>
      </c>
      <c r="AA45" s="19">
        <f t="shared" si="60"/>
        <v>0</v>
      </c>
      <c r="AB45" s="20" t="str">
        <f>IF(AND(Dane_kredytowe!F$9&lt;B45,SUM(AB$5:AB44)&lt;P44),1," ")</f>
        <v xml:space="preserve"> </v>
      </c>
      <c r="AD45" s="75">
        <f>IF(OR(B45&lt;Dane_kredytowe!F$15,Dane_kredytowe!F$15=""),-F45+S45,0)</f>
        <v>0</v>
      </c>
      <c r="AE45" s="75">
        <f t="shared" si="5"/>
        <v>0</v>
      </c>
      <c r="AG45" s="22">
        <f>Dane_kredytowe!F$17-SUM(AI$5:AI44)+SUM(W$42:W45)-SUM(X$42:X45)</f>
        <v>95134.46</v>
      </c>
      <c r="AH45" s="22">
        <f t="shared" si="6"/>
        <v>0</v>
      </c>
      <c r="AI45" s="22">
        <f t="shared" si="7"/>
        <v>0</v>
      </c>
      <c r="AJ45" s="22">
        <f t="shared" si="61"/>
        <v>0</v>
      </c>
      <c r="AK45" s="22">
        <f t="shared" si="8"/>
        <v>0</v>
      </c>
      <c r="AL45" s="22">
        <f>Dane_kredytowe!F$8-SUM(AN$5:AN44)+SUM(R$42:R44)-SUM(S$42:S45)</f>
        <v>300000</v>
      </c>
      <c r="AM45" s="22">
        <f t="shared" si="9"/>
        <v>0</v>
      </c>
      <c r="AN45" s="22">
        <f t="shared" si="10"/>
        <v>0</v>
      </c>
      <c r="AO45" s="22">
        <f t="shared" si="62"/>
        <v>0</v>
      </c>
      <c r="AP45" s="22">
        <f t="shared" si="63"/>
        <v>0</v>
      </c>
      <c r="AR45" s="87">
        <f t="shared" si="11"/>
        <v>38473</v>
      </c>
      <c r="AS45" s="23">
        <f>AS$5+SUM(AV$5:AV44)-SUM(X$5:X45)+SUM(W$5:W45)</f>
        <v>139056.27143784185</v>
      </c>
      <c r="AT45" s="22">
        <f t="shared" si="12"/>
        <v>0</v>
      </c>
      <c r="AU45" s="22">
        <f>IF(AB45=1,IF(Q45="tak",AT45,PMT(M45/12,P45+1-SUM(AB$5:AB45),AS45)),0)</f>
        <v>0</v>
      </c>
      <c r="AV45" s="22">
        <f t="shared" si="64"/>
        <v>0</v>
      </c>
      <c r="AW45" s="22">
        <f t="shared" si="13"/>
        <v>0</v>
      </c>
      <c r="AY45" s="23">
        <f>AY$5+SUM(BA$5:BA44)+SUM(W$5:W44)-SUM(X$5:X44)</f>
        <v>139056.27143784185</v>
      </c>
      <c r="AZ45" s="23">
        <f t="shared" si="14"/>
        <v>0</v>
      </c>
      <c r="BA45" s="23">
        <f t="shared" si="15"/>
        <v>0</v>
      </c>
      <c r="BB45" s="23">
        <f t="shared" si="65"/>
        <v>0</v>
      </c>
      <c r="BC45" s="23">
        <f t="shared" si="16"/>
        <v>0</v>
      </c>
      <c r="BE45" s="88">
        <f t="shared" si="17"/>
        <v>5.4800000000000001E-2</v>
      </c>
      <c r="BF45" s="89">
        <f>BE45+Dane_kredytowe!F$12</f>
        <v>8.48E-2</v>
      </c>
      <c r="BG45" s="23">
        <f>BG$5+SUM(BH$5:BH44)+SUM(R$5:R44)-SUM(S$5:S44)</f>
        <v>300000</v>
      </c>
      <c r="BH45" s="22">
        <f t="shared" si="66"/>
        <v>0</v>
      </c>
      <c r="BI45" s="22">
        <f t="shared" si="67"/>
        <v>0</v>
      </c>
      <c r="BJ45" s="22">
        <f>IF(U45&lt;0,PMT(BF45/12,Dane_kredytowe!F$13-SUM(AB$5:AB45)+1,BG45),0)</f>
        <v>0</v>
      </c>
      <c r="BL45" s="23">
        <f>BL$5+SUM(BN$5:BN44)+SUM(R$5:R44)-SUM(S$5:S44)</f>
        <v>300000</v>
      </c>
      <c r="BM45" s="23">
        <f t="shared" si="18"/>
        <v>0</v>
      </c>
      <c r="BN45" s="23">
        <f t="shared" si="19"/>
        <v>0</v>
      </c>
      <c r="BO45" s="23">
        <f t="shared" si="20"/>
        <v>0</v>
      </c>
      <c r="BQ45" s="89">
        <f t="shared" si="42"/>
        <v>7.1500000000000008E-2</v>
      </c>
      <c r="BR45" s="23">
        <f>BR$5+SUM(BS$5:BS44)+SUM(R$5:R44)-SUM(S$5:S44)+SUM(BV$5:BV44)</f>
        <v>300000</v>
      </c>
      <c r="BS45" s="22">
        <f t="shared" si="49"/>
        <v>0</v>
      </c>
      <c r="BT45" s="22">
        <f t="shared" si="50"/>
        <v>0</v>
      </c>
      <c r="BU45" s="22">
        <f>IF(U45&lt;0,PMT(BQ45/12,Dane_kredytowe!F$13-SUM(AB$5:AB45)+1,BR45),0)</f>
        <v>0</v>
      </c>
      <c r="BV45" s="22">
        <f t="shared" si="43"/>
        <v>0</v>
      </c>
      <c r="BX45" s="23">
        <f>BX$5+SUM(BZ$5:BZ44)+SUM(R$5:R44)-SUM(S$5:S44)+SUM(CB$5,CB44)</f>
        <v>300000</v>
      </c>
      <c r="BY45" s="22">
        <f t="shared" si="21"/>
        <v>0</v>
      </c>
      <c r="BZ45" s="22">
        <f t="shared" si="22"/>
        <v>0</v>
      </c>
      <c r="CA45" s="22">
        <f t="shared" si="51"/>
        <v>0</v>
      </c>
      <c r="CB45" s="22">
        <f t="shared" si="52"/>
        <v>0</v>
      </c>
      <c r="CD45" s="22">
        <f>CD$5+SUM(CE$5:CE44)+SUM(R$5:R44)-SUM(S$5:S44)-SUM(CF$5:CF44)</f>
        <v>300000</v>
      </c>
      <c r="CE45" s="22">
        <f t="shared" si="44"/>
        <v>0</v>
      </c>
      <c r="CF45" s="22">
        <f t="shared" si="23"/>
        <v>0</v>
      </c>
      <c r="CG45" s="22">
        <f t="shared" si="45"/>
        <v>0</v>
      </c>
      <c r="CI45" s="89">
        <f t="shared" si="24"/>
        <v>0.8337</v>
      </c>
      <c r="CJ45" s="22">
        <f t="shared" si="25"/>
        <v>0</v>
      </c>
      <c r="CK45" s="15">
        <f t="shared" si="46"/>
        <v>0</v>
      </c>
      <c r="CM45" s="22">
        <f t="shared" si="47"/>
        <v>0</v>
      </c>
      <c r="CN45" s="15">
        <f t="shared" si="53"/>
        <v>0</v>
      </c>
    </row>
    <row r="46" spans="1:92">
      <c r="A46" s="25"/>
      <c r="B46" s="80">
        <v>38504</v>
      </c>
      <c r="C46" s="81">
        <f t="shared" si="0"/>
        <v>2.6396000000000002</v>
      </c>
      <c r="D46" s="82">
        <f t="shared" si="48"/>
        <v>2.7187880000000004</v>
      </c>
      <c r="E46" s="73">
        <f t="shared" si="54"/>
        <v>0</v>
      </c>
      <c r="F46" s="19">
        <f t="shared" si="55"/>
        <v>0</v>
      </c>
      <c r="G46" s="19">
        <f t="shared" si="56"/>
        <v>0</v>
      </c>
      <c r="H46" s="19">
        <f t="shared" si="57"/>
        <v>0</v>
      </c>
      <c r="I46" s="62"/>
      <c r="J46" s="15" t="str">
        <f t="shared" si="58"/>
        <v xml:space="preserve"> </v>
      </c>
      <c r="K46" s="15">
        <f>IF(B46&lt;=Dane_kredytowe!F$9,0,K45+1)</f>
        <v>0</v>
      </c>
      <c r="L46" s="83">
        <f t="shared" si="1"/>
        <v>7.4999999999999997E-3</v>
      </c>
      <c r="M46" s="84">
        <f>L46+Dane_kredytowe!F$12</f>
        <v>3.7499999999999999E-2</v>
      </c>
      <c r="N46" s="79">
        <f>MAX(Dane_kredytowe!F$17+SUM(AA$5:AA45)-SUM(X$5:X46)+SUM(W$5:W46),0)</f>
        <v>95134.46</v>
      </c>
      <c r="O46" s="85">
        <f>MAX(Dane_kredytowe!F$8+SUM(V$5:V45)-SUM(S$5:S46)+SUM(R$5:R45),0)</f>
        <v>300000</v>
      </c>
      <c r="P46" s="67">
        <f t="shared" si="59"/>
        <v>360</v>
      </c>
      <c r="Q46" s="127" t="str">
        <f>IF(AND(K46&gt;0,K46&lt;=Dane_kredytowe!F$16),"tak","nie")</f>
        <v>nie</v>
      </c>
      <c r="R46" s="69"/>
      <c r="S46" s="86">
        <f>IF(Dane_kredytowe!F$19=B46,O45+V45,_xlfn.XLOOKUP(B46,Dane_kredytowe!M$9:M$18,Dane_kredytowe!N$9:N$18,0))</f>
        <v>0</v>
      </c>
      <c r="T46" s="71">
        <f t="shared" si="2"/>
        <v>0</v>
      </c>
      <c r="U46" s="72">
        <f>IF(Q46="tak",T46,IF(P46-SUM(AB$5:AB46)+1&gt;0,IF(Dane_kredytowe!F$9&lt;B46,IF(SUM(AB$5:AB46)-Dane_kredytowe!F$16+1&gt;0,PMT(M46/12,P46+1-SUM(AB$5:AB46),O46),T46),0),0))</f>
        <v>0</v>
      </c>
      <c r="V46" s="72">
        <f t="shared" si="32"/>
        <v>0</v>
      </c>
      <c r="W46" s="19" t="str">
        <f t="shared" si="33"/>
        <v xml:space="preserve"> </v>
      </c>
      <c r="X46" s="19">
        <f t="shared" si="3"/>
        <v>0</v>
      </c>
      <c r="Y46" s="73">
        <f t="shared" si="4"/>
        <v>0</v>
      </c>
      <c r="Z46" s="19">
        <f>IF(P46-SUM(AB$5:AB46)+1&gt;0,IF(Dane_kredytowe!F$9&lt;B46,IF(SUM(AB$5:AB46)-Dane_kredytowe!F$16+1&gt;0,PMT(M46/12,P46+1-SUM(AB$5:AB46),N46),Y46),0),0)</f>
        <v>0</v>
      </c>
      <c r="AA46" s="19">
        <f t="shared" si="60"/>
        <v>0</v>
      </c>
      <c r="AB46" s="20" t="str">
        <f>IF(AND(Dane_kredytowe!F$9&lt;B46,SUM(AB$5:AB45)&lt;P45),1," ")</f>
        <v xml:space="preserve"> </v>
      </c>
      <c r="AD46" s="75">
        <f>IF(OR(B46&lt;Dane_kredytowe!F$15,Dane_kredytowe!F$15=""),-F46+S46,0)</f>
        <v>0</v>
      </c>
      <c r="AE46" s="75">
        <f t="shared" si="5"/>
        <v>0</v>
      </c>
      <c r="AG46" s="22">
        <f>Dane_kredytowe!F$17-SUM(AI$5:AI45)+SUM(W$42:W46)-SUM(X$42:X46)</f>
        <v>95134.46</v>
      </c>
      <c r="AH46" s="22">
        <f t="shared" si="6"/>
        <v>0</v>
      </c>
      <c r="AI46" s="22">
        <f t="shared" si="7"/>
        <v>0</v>
      </c>
      <c r="AJ46" s="22">
        <f t="shared" si="61"/>
        <v>0</v>
      </c>
      <c r="AK46" s="22">
        <f t="shared" si="8"/>
        <v>0</v>
      </c>
      <c r="AL46" s="22">
        <f>Dane_kredytowe!F$8-SUM(AN$5:AN45)+SUM(R$42:R45)-SUM(S$42:S46)</f>
        <v>300000</v>
      </c>
      <c r="AM46" s="22">
        <f t="shared" si="9"/>
        <v>0</v>
      </c>
      <c r="AN46" s="22">
        <f t="shared" si="10"/>
        <v>0</v>
      </c>
      <c r="AO46" s="22">
        <f t="shared" si="62"/>
        <v>0</v>
      </c>
      <c r="AP46" s="22">
        <f t="shared" si="63"/>
        <v>0</v>
      </c>
      <c r="AR46" s="87">
        <f t="shared" si="11"/>
        <v>38504</v>
      </c>
      <c r="AS46" s="23">
        <f>AS$5+SUM(AV$5:AV45)-SUM(X$5:X46)+SUM(W$5:W46)</f>
        <v>139056.27143784185</v>
      </c>
      <c r="AT46" s="22">
        <f t="shared" si="12"/>
        <v>0</v>
      </c>
      <c r="AU46" s="22">
        <f>IF(AB46=1,IF(Q46="tak",AT46,PMT(M46/12,P46+1-SUM(AB$5:AB46),AS46)),0)</f>
        <v>0</v>
      </c>
      <c r="AV46" s="22">
        <f t="shared" si="64"/>
        <v>0</v>
      </c>
      <c r="AW46" s="22">
        <f t="shared" si="13"/>
        <v>0</v>
      </c>
      <c r="AY46" s="23">
        <f>AY$5+SUM(BA$5:BA45)+SUM(W$5:W45)-SUM(X$5:X45)</f>
        <v>139056.27143784185</v>
      </c>
      <c r="AZ46" s="23">
        <f t="shared" si="14"/>
        <v>0</v>
      </c>
      <c r="BA46" s="23">
        <f t="shared" si="15"/>
        <v>0</v>
      </c>
      <c r="BB46" s="23">
        <f t="shared" si="65"/>
        <v>0</v>
      </c>
      <c r="BC46" s="23">
        <f t="shared" si="16"/>
        <v>0</v>
      </c>
      <c r="BE46" s="88">
        <f t="shared" si="17"/>
        <v>5.2200000000000003E-2</v>
      </c>
      <c r="BF46" s="89">
        <f>BE46+Dane_kredytowe!F$12</f>
        <v>8.2199999999999995E-2</v>
      </c>
      <c r="BG46" s="23">
        <f>BG$5+SUM(BH$5:BH45)+SUM(R$5:R45)-SUM(S$5:S45)</f>
        <v>300000</v>
      </c>
      <c r="BH46" s="22">
        <f t="shared" si="66"/>
        <v>0</v>
      </c>
      <c r="BI46" s="22">
        <f t="shared" si="67"/>
        <v>0</v>
      </c>
      <c r="BJ46" s="22">
        <f>IF(U46&lt;0,PMT(BF46/12,Dane_kredytowe!F$13-SUM(AB$5:AB46)+1,BG46),0)</f>
        <v>0</v>
      </c>
      <c r="BL46" s="23">
        <f>BL$5+SUM(BN$5:BN45)+SUM(R$5:R45)-SUM(S$5:S45)</f>
        <v>300000</v>
      </c>
      <c r="BM46" s="23">
        <f t="shared" si="18"/>
        <v>0</v>
      </c>
      <c r="BN46" s="23">
        <f t="shared" si="19"/>
        <v>0</v>
      </c>
      <c r="BO46" s="23">
        <f t="shared" si="20"/>
        <v>0</v>
      </c>
      <c r="BQ46" s="89">
        <f t="shared" si="42"/>
        <v>6.8900000000000003E-2</v>
      </c>
      <c r="BR46" s="23">
        <f>BR$5+SUM(BS$5:BS45)+SUM(R$5:R45)-SUM(S$5:S45)+SUM(BV$5:BV45)</f>
        <v>300000</v>
      </c>
      <c r="BS46" s="22">
        <f t="shared" si="49"/>
        <v>0</v>
      </c>
      <c r="BT46" s="22">
        <f t="shared" si="50"/>
        <v>0</v>
      </c>
      <c r="BU46" s="22">
        <f>IF(U46&lt;0,PMT(BQ46/12,Dane_kredytowe!F$13-SUM(AB$5:AB46)+1,BR46),0)</f>
        <v>0</v>
      </c>
      <c r="BV46" s="22">
        <f t="shared" si="43"/>
        <v>0</v>
      </c>
      <c r="BX46" s="23">
        <f>BX$5+SUM(BZ$5:BZ45)+SUM(R$5:R45)-SUM(S$5:S45)+SUM(CB$5,CB45)</f>
        <v>300000</v>
      </c>
      <c r="BY46" s="22">
        <f t="shared" si="21"/>
        <v>0</v>
      </c>
      <c r="BZ46" s="22">
        <f t="shared" si="22"/>
        <v>0</v>
      </c>
      <c r="CA46" s="22">
        <f t="shared" si="51"/>
        <v>0</v>
      </c>
      <c r="CB46" s="22">
        <f t="shared" si="52"/>
        <v>0</v>
      </c>
      <c r="CD46" s="22">
        <f>CD$5+SUM(CE$5:CE45)+SUM(R$5:R45)-SUM(S$5:S45)-SUM(CF$5:CF45)</f>
        <v>300000</v>
      </c>
      <c r="CE46" s="22">
        <f t="shared" si="44"/>
        <v>0</v>
      </c>
      <c r="CF46" s="22">
        <f t="shared" si="23"/>
        <v>0</v>
      </c>
      <c r="CG46" s="22">
        <f t="shared" si="45"/>
        <v>0</v>
      </c>
      <c r="CI46" s="89">
        <f t="shared" si="24"/>
        <v>0.83730000000000004</v>
      </c>
      <c r="CJ46" s="22">
        <f t="shared" si="25"/>
        <v>0</v>
      </c>
      <c r="CK46" s="15">
        <f t="shared" si="46"/>
        <v>0</v>
      </c>
      <c r="CM46" s="22">
        <f t="shared" si="47"/>
        <v>0</v>
      </c>
      <c r="CN46" s="15">
        <f t="shared" si="53"/>
        <v>0</v>
      </c>
    </row>
    <row r="47" spans="1:92">
      <c r="A47" s="25"/>
      <c r="B47" s="80">
        <v>38534</v>
      </c>
      <c r="C47" s="81">
        <f t="shared" si="0"/>
        <v>2.6297000000000001</v>
      </c>
      <c r="D47" s="82">
        <f t="shared" si="48"/>
        <v>2.7085910000000002</v>
      </c>
      <c r="E47" s="73">
        <f t="shared" si="54"/>
        <v>0</v>
      </c>
      <c r="F47" s="19">
        <f t="shared" si="55"/>
        <v>0</v>
      </c>
      <c r="G47" s="19">
        <f t="shared" si="56"/>
        <v>0</v>
      </c>
      <c r="H47" s="19">
        <f t="shared" si="57"/>
        <v>0</v>
      </c>
      <c r="I47" s="62"/>
      <c r="J47" s="15" t="str">
        <f t="shared" si="58"/>
        <v xml:space="preserve"> </v>
      </c>
      <c r="K47" s="15">
        <f>IF(B47&lt;=Dane_kredytowe!F$9,0,K46+1)</f>
        <v>0</v>
      </c>
      <c r="L47" s="83">
        <f t="shared" si="1"/>
        <v>7.4669999999999997E-3</v>
      </c>
      <c r="M47" s="84">
        <f>L47+Dane_kredytowe!F$12</f>
        <v>3.7467E-2</v>
      </c>
      <c r="N47" s="79">
        <f>MAX(Dane_kredytowe!F$17+SUM(AA$5:AA46)-SUM(X$5:X47)+SUM(W$5:W47),0)</f>
        <v>95134.46</v>
      </c>
      <c r="O47" s="85">
        <f>MAX(Dane_kredytowe!F$8+SUM(V$5:V46)-SUM(S$5:S47)+SUM(R$5:R46),0)</f>
        <v>300000</v>
      </c>
      <c r="P47" s="67">
        <f t="shared" si="59"/>
        <v>360</v>
      </c>
      <c r="Q47" s="127" t="str">
        <f>IF(AND(K47&gt;0,K47&lt;=Dane_kredytowe!F$16),"tak","nie")</f>
        <v>nie</v>
      </c>
      <c r="R47" s="69"/>
      <c r="S47" s="86">
        <f>IF(Dane_kredytowe!F$19=B47,O46+V46,_xlfn.XLOOKUP(B47,Dane_kredytowe!M$9:M$18,Dane_kredytowe!N$9:N$18,0))</f>
        <v>0</v>
      </c>
      <c r="T47" s="71">
        <f t="shared" si="2"/>
        <v>0</v>
      </c>
      <c r="U47" s="72">
        <f>IF(Q47="tak",T47,IF(P47-SUM(AB$5:AB47)+1&gt;0,IF(Dane_kredytowe!F$9&lt;B47,IF(SUM(AB$5:AB47)-Dane_kredytowe!F$16+1&gt;0,PMT(M47/12,P47+1-SUM(AB$5:AB47),O47),T47),0),0))</f>
        <v>0</v>
      </c>
      <c r="V47" s="72">
        <f t="shared" si="32"/>
        <v>0</v>
      </c>
      <c r="W47" s="19" t="str">
        <f t="shared" si="33"/>
        <v xml:space="preserve"> </v>
      </c>
      <c r="X47" s="19">
        <f t="shared" si="3"/>
        <v>0</v>
      </c>
      <c r="Y47" s="73">
        <f t="shared" si="4"/>
        <v>0</v>
      </c>
      <c r="Z47" s="19">
        <f>IF(P47-SUM(AB$5:AB47)+1&gt;0,IF(Dane_kredytowe!F$9&lt;B47,IF(SUM(AB$5:AB47)-Dane_kredytowe!F$16+1&gt;0,PMT(M47/12,P47+1-SUM(AB$5:AB47),N47),Y47),0),0)</f>
        <v>0</v>
      </c>
      <c r="AA47" s="19">
        <f t="shared" si="60"/>
        <v>0</v>
      </c>
      <c r="AB47" s="20" t="str">
        <f>IF(AND(Dane_kredytowe!F$9&lt;B47,SUM(AB$5:AB46)&lt;P46),1," ")</f>
        <v xml:space="preserve"> </v>
      </c>
      <c r="AD47" s="75">
        <f>IF(OR(B47&lt;Dane_kredytowe!F$15,Dane_kredytowe!F$15=""),-F47+S47,0)</f>
        <v>0</v>
      </c>
      <c r="AE47" s="75">
        <f t="shared" si="5"/>
        <v>0</v>
      </c>
      <c r="AG47" s="22">
        <f>Dane_kredytowe!F$17-SUM(AI$5:AI46)+SUM(W$42:W47)-SUM(X$42:X47)</f>
        <v>95134.46</v>
      </c>
      <c r="AH47" s="22">
        <f t="shared" si="6"/>
        <v>0</v>
      </c>
      <c r="AI47" s="22">
        <f t="shared" si="7"/>
        <v>0</v>
      </c>
      <c r="AJ47" s="22">
        <f t="shared" si="61"/>
        <v>0</v>
      </c>
      <c r="AK47" s="22">
        <f t="shared" si="8"/>
        <v>0</v>
      </c>
      <c r="AL47" s="22">
        <f>Dane_kredytowe!F$8-SUM(AN$5:AN46)+SUM(R$42:R46)-SUM(S$42:S47)</f>
        <v>300000</v>
      </c>
      <c r="AM47" s="22">
        <f t="shared" si="9"/>
        <v>0</v>
      </c>
      <c r="AN47" s="22">
        <f t="shared" si="10"/>
        <v>0</v>
      </c>
      <c r="AO47" s="22">
        <f t="shared" si="62"/>
        <v>0</v>
      </c>
      <c r="AP47" s="22">
        <f t="shared" si="63"/>
        <v>0</v>
      </c>
      <c r="AR47" s="87">
        <f t="shared" si="11"/>
        <v>38534</v>
      </c>
      <c r="AS47" s="23">
        <f>AS$5+SUM(AV$5:AV46)-SUM(X$5:X47)+SUM(W$5:W47)</f>
        <v>139056.27143784185</v>
      </c>
      <c r="AT47" s="22">
        <f t="shared" si="12"/>
        <v>0</v>
      </c>
      <c r="AU47" s="22">
        <f>IF(AB47=1,IF(Q47="tak",AT47,PMT(M47/12,P47+1-SUM(AB$5:AB47),AS47)),0)</f>
        <v>0</v>
      </c>
      <c r="AV47" s="22">
        <f t="shared" si="64"/>
        <v>0</v>
      </c>
      <c r="AW47" s="22">
        <f t="shared" si="13"/>
        <v>0</v>
      </c>
      <c r="AY47" s="23">
        <f>AY$5+SUM(BA$5:BA46)+SUM(W$5:W46)-SUM(X$5:X46)</f>
        <v>139056.27143784185</v>
      </c>
      <c r="AZ47" s="23">
        <f t="shared" si="14"/>
        <v>0</v>
      </c>
      <c r="BA47" s="23">
        <f t="shared" si="15"/>
        <v>0</v>
      </c>
      <c r="BB47" s="23">
        <f t="shared" si="65"/>
        <v>0</v>
      </c>
      <c r="BC47" s="23">
        <f t="shared" si="16"/>
        <v>0</v>
      </c>
      <c r="BE47" s="88">
        <f t="shared" si="17"/>
        <v>4.6800000000000001E-2</v>
      </c>
      <c r="BF47" s="89">
        <f>BE47+Dane_kredytowe!F$12</f>
        <v>7.6800000000000007E-2</v>
      </c>
      <c r="BG47" s="23">
        <f>BG$5+SUM(BH$5:BH46)+SUM(R$5:R46)-SUM(S$5:S46)</f>
        <v>300000</v>
      </c>
      <c r="BH47" s="22">
        <f t="shared" si="66"/>
        <v>0</v>
      </c>
      <c r="BI47" s="22">
        <f t="shared" si="67"/>
        <v>0</v>
      </c>
      <c r="BJ47" s="22">
        <f>IF(U47&lt;0,PMT(BF47/12,Dane_kredytowe!F$13-SUM(AB$5:AB47)+1,BG47),0)</f>
        <v>0</v>
      </c>
      <c r="BL47" s="23">
        <f>BL$5+SUM(BN$5:BN46)+SUM(R$5:R46)-SUM(S$5:S46)</f>
        <v>300000</v>
      </c>
      <c r="BM47" s="23">
        <f t="shared" si="18"/>
        <v>0</v>
      </c>
      <c r="BN47" s="23">
        <f t="shared" si="19"/>
        <v>0</v>
      </c>
      <c r="BO47" s="23">
        <f t="shared" si="20"/>
        <v>0</v>
      </c>
      <c r="BQ47" s="89">
        <f t="shared" si="42"/>
        <v>6.3500000000000001E-2</v>
      </c>
      <c r="BR47" s="23">
        <f>BR$5+SUM(BS$5:BS46)+SUM(R$5:R46)-SUM(S$5:S46)+SUM(BV$5:BV46)</f>
        <v>300000</v>
      </c>
      <c r="BS47" s="22">
        <f t="shared" si="49"/>
        <v>0</v>
      </c>
      <c r="BT47" s="22">
        <f t="shared" si="50"/>
        <v>0</v>
      </c>
      <c r="BU47" s="22">
        <f>IF(U47&lt;0,PMT(BQ47/12,Dane_kredytowe!F$13-SUM(AB$5:AB47)+1,BR47),0)</f>
        <v>0</v>
      </c>
      <c r="BV47" s="22">
        <f t="shared" si="43"/>
        <v>0</v>
      </c>
      <c r="BX47" s="23">
        <f>BX$5+SUM(BZ$5:BZ46)+SUM(R$5:R46)-SUM(S$5:S46)+SUM(CB$5,CB46)</f>
        <v>300000</v>
      </c>
      <c r="BY47" s="22">
        <f t="shared" si="21"/>
        <v>0</v>
      </c>
      <c r="BZ47" s="22">
        <f t="shared" si="22"/>
        <v>0</v>
      </c>
      <c r="CA47" s="22">
        <f t="shared" si="51"/>
        <v>0</v>
      </c>
      <c r="CB47" s="22">
        <f t="shared" si="52"/>
        <v>0</v>
      </c>
      <c r="CD47" s="22">
        <f>CD$5+SUM(CE$5:CE46)+SUM(R$5:R46)-SUM(S$5:S46)-SUM(CF$5:CF46)</f>
        <v>300000</v>
      </c>
      <c r="CE47" s="22">
        <f t="shared" si="44"/>
        <v>0</v>
      </c>
      <c r="CF47" s="22">
        <f t="shared" si="23"/>
        <v>0</v>
      </c>
      <c r="CG47" s="22">
        <f t="shared" si="45"/>
        <v>0</v>
      </c>
      <c r="CI47" s="89">
        <f t="shared" si="24"/>
        <v>0.84099999999999997</v>
      </c>
      <c r="CJ47" s="22">
        <f t="shared" si="25"/>
        <v>0</v>
      </c>
      <c r="CK47" s="15">
        <f t="shared" si="46"/>
        <v>0</v>
      </c>
      <c r="CM47" s="22">
        <f t="shared" si="47"/>
        <v>0</v>
      </c>
      <c r="CN47" s="15">
        <f t="shared" si="53"/>
        <v>0</v>
      </c>
    </row>
    <row r="48" spans="1:92">
      <c r="A48" s="25"/>
      <c r="B48" s="80">
        <v>38565</v>
      </c>
      <c r="C48" s="81">
        <f t="shared" si="0"/>
        <v>2.6048</v>
      </c>
      <c r="D48" s="82">
        <f t="shared" si="48"/>
        <v>2.682944</v>
      </c>
      <c r="E48" s="73">
        <f t="shared" si="54"/>
        <v>0</v>
      </c>
      <c r="F48" s="19">
        <f t="shared" si="55"/>
        <v>0</v>
      </c>
      <c r="G48" s="19">
        <f t="shared" si="56"/>
        <v>0</v>
      </c>
      <c r="H48" s="19">
        <f t="shared" si="57"/>
        <v>0</v>
      </c>
      <c r="I48" s="62"/>
      <c r="J48" s="15" t="str">
        <f t="shared" si="58"/>
        <v xml:space="preserve"> </v>
      </c>
      <c r="K48" s="15">
        <f>IF(B48&lt;=Dane_kredytowe!F$9,0,K47+1)</f>
        <v>0</v>
      </c>
      <c r="L48" s="83">
        <f t="shared" si="1"/>
        <v>7.5669999999999999E-3</v>
      </c>
      <c r="M48" s="84">
        <f>L48+Dane_kredytowe!F$12</f>
        <v>3.7566999999999996E-2</v>
      </c>
      <c r="N48" s="79">
        <f>MAX(Dane_kredytowe!F$17+SUM(AA$5:AA47)-SUM(X$5:X48)+SUM(W$5:W48),0)</f>
        <v>95134.46</v>
      </c>
      <c r="O48" s="85">
        <f>MAX(Dane_kredytowe!F$8+SUM(V$5:V47)-SUM(S$5:S48)+SUM(R$5:R47),0)</f>
        <v>300000</v>
      </c>
      <c r="P48" s="67">
        <f t="shared" si="59"/>
        <v>360</v>
      </c>
      <c r="Q48" s="127" t="str">
        <f>IF(AND(K48&gt;0,K48&lt;=Dane_kredytowe!F$16),"tak","nie")</f>
        <v>nie</v>
      </c>
      <c r="R48" s="69"/>
      <c r="S48" s="86">
        <f>IF(Dane_kredytowe!F$19=B48,O47+V47,_xlfn.XLOOKUP(B48,Dane_kredytowe!M$9:M$18,Dane_kredytowe!N$9:N$18,0))</f>
        <v>0</v>
      </c>
      <c r="T48" s="71">
        <f t="shared" si="2"/>
        <v>0</v>
      </c>
      <c r="U48" s="72">
        <f>IF(Q48="tak",T48,IF(P48-SUM(AB$5:AB48)+1&gt;0,IF(Dane_kredytowe!F$9&lt;B48,IF(SUM(AB$5:AB48)-Dane_kredytowe!F$16+1&gt;0,PMT(M48/12,P48+1-SUM(AB$5:AB48),O48),T48),0),0))</f>
        <v>0</v>
      </c>
      <c r="V48" s="72">
        <f t="shared" si="32"/>
        <v>0</v>
      </c>
      <c r="W48" s="19" t="str">
        <f t="shared" si="33"/>
        <v xml:space="preserve"> </v>
      </c>
      <c r="X48" s="19">
        <f t="shared" si="3"/>
        <v>0</v>
      </c>
      <c r="Y48" s="73">
        <f t="shared" si="4"/>
        <v>0</v>
      </c>
      <c r="Z48" s="19">
        <f>IF(P48-SUM(AB$5:AB48)+1&gt;0,IF(Dane_kredytowe!F$9&lt;B48,IF(SUM(AB$5:AB48)-Dane_kredytowe!F$16+1&gt;0,PMT(M48/12,P48+1-SUM(AB$5:AB48),N48),Y48),0),0)</f>
        <v>0</v>
      </c>
      <c r="AA48" s="19">
        <f t="shared" si="60"/>
        <v>0</v>
      </c>
      <c r="AB48" s="20" t="str">
        <f>IF(AND(Dane_kredytowe!F$9&lt;B48,SUM(AB$5:AB47)&lt;P47),1," ")</f>
        <v xml:space="preserve"> </v>
      </c>
      <c r="AD48" s="75">
        <f>IF(OR(B48&lt;Dane_kredytowe!F$15,Dane_kredytowe!F$15=""),-F48+S48,0)</f>
        <v>0</v>
      </c>
      <c r="AE48" s="75">
        <f t="shared" si="5"/>
        <v>0</v>
      </c>
      <c r="AG48" s="22">
        <f>Dane_kredytowe!F$17-SUM(AI$5:AI47)+SUM(W$42:W48)-SUM(X$42:X48)</f>
        <v>95134.46</v>
      </c>
      <c r="AH48" s="22">
        <f t="shared" si="6"/>
        <v>0</v>
      </c>
      <c r="AI48" s="22">
        <f t="shared" si="7"/>
        <v>0</v>
      </c>
      <c r="AJ48" s="22">
        <f t="shared" si="61"/>
        <v>0</v>
      </c>
      <c r="AK48" s="22">
        <f t="shared" si="8"/>
        <v>0</v>
      </c>
      <c r="AL48" s="22">
        <f>Dane_kredytowe!F$8-SUM(AN$5:AN47)+SUM(R$42:R47)-SUM(S$42:S48)</f>
        <v>300000</v>
      </c>
      <c r="AM48" s="22">
        <f t="shared" si="9"/>
        <v>0</v>
      </c>
      <c r="AN48" s="22">
        <f t="shared" si="10"/>
        <v>0</v>
      </c>
      <c r="AO48" s="22">
        <f t="shared" si="62"/>
        <v>0</v>
      </c>
      <c r="AP48" s="22">
        <f t="shared" si="63"/>
        <v>0</v>
      </c>
      <c r="AR48" s="87">
        <f t="shared" si="11"/>
        <v>38565</v>
      </c>
      <c r="AS48" s="23">
        <f>AS$5+SUM(AV$5:AV47)-SUM(X$5:X48)+SUM(W$5:W48)</f>
        <v>139056.27143784185</v>
      </c>
      <c r="AT48" s="22">
        <f t="shared" si="12"/>
        <v>0</v>
      </c>
      <c r="AU48" s="22">
        <f>IF(AB48=1,IF(Q48="tak",AT48,PMT(M48/12,P48+1-SUM(AB$5:AB48),AS48)),0)</f>
        <v>0</v>
      </c>
      <c r="AV48" s="22">
        <f t="shared" si="64"/>
        <v>0</v>
      </c>
      <c r="AW48" s="22">
        <f t="shared" si="13"/>
        <v>0</v>
      </c>
      <c r="AY48" s="23">
        <f>AY$5+SUM(BA$5:BA47)+SUM(W$5:W47)-SUM(X$5:X47)</f>
        <v>139056.27143784185</v>
      </c>
      <c r="AZ48" s="23">
        <f t="shared" si="14"/>
        <v>0</v>
      </c>
      <c r="BA48" s="23">
        <f t="shared" si="15"/>
        <v>0</v>
      </c>
      <c r="BB48" s="23">
        <f t="shared" si="65"/>
        <v>0</v>
      </c>
      <c r="BC48" s="23">
        <f t="shared" si="16"/>
        <v>0</v>
      </c>
      <c r="BE48" s="88">
        <f t="shared" si="17"/>
        <v>4.6699999999999998E-2</v>
      </c>
      <c r="BF48" s="89">
        <f>BE48+Dane_kredytowe!F$12</f>
        <v>7.669999999999999E-2</v>
      </c>
      <c r="BG48" s="23">
        <f>BG$5+SUM(BH$5:BH47)+SUM(R$5:R47)-SUM(S$5:S47)</f>
        <v>300000</v>
      </c>
      <c r="BH48" s="22">
        <f t="shared" si="66"/>
        <v>0</v>
      </c>
      <c r="BI48" s="22">
        <f t="shared" si="67"/>
        <v>0</v>
      </c>
      <c r="BJ48" s="22">
        <f>IF(U48&lt;0,PMT(BF48/12,Dane_kredytowe!F$13-SUM(AB$5:AB48)+1,BG48),0)</f>
        <v>0</v>
      </c>
      <c r="BL48" s="23">
        <f>BL$5+SUM(BN$5:BN47)+SUM(R$5:R47)-SUM(S$5:S47)</f>
        <v>300000</v>
      </c>
      <c r="BM48" s="23">
        <f t="shared" si="18"/>
        <v>0</v>
      </c>
      <c r="BN48" s="23">
        <f t="shared" si="19"/>
        <v>0</v>
      </c>
      <c r="BO48" s="23">
        <f t="shared" si="20"/>
        <v>0</v>
      </c>
      <c r="BQ48" s="89">
        <f t="shared" si="42"/>
        <v>6.3399999999999998E-2</v>
      </c>
      <c r="BR48" s="23">
        <f>BR$5+SUM(BS$5:BS47)+SUM(R$5:R47)-SUM(S$5:S47)+SUM(BV$5:BV47)</f>
        <v>300000</v>
      </c>
      <c r="BS48" s="22">
        <f t="shared" si="49"/>
        <v>0</v>
      </c>
      <c r="BT48" s="22">
        <f t="shared" si="50"/>
        <v>0</v>
      </c>
      <c r="BU48" s="22">
        <f>IF(U48&lt;0,PMT(BQ48/12,Dane_kredytowe!F$13-SUM(AB$5:AB48)+1,BR48),0)</f>
        <v>0</v>
      </c>
      <c r="BV48" s="22">
        <f t="shared" si="43"/>
        <v>0</v>
      </c>
      <c r="BX48" s="23">
        <f>BX$5+SUM(BZ$5:BZ47)+SUM(R$5:R47)-SUM(S$5:S47)+SUM(CB$5,CB47)</f>
        <v>300000</v>
      </c>
      <c r="BY48" s="22">
        <f t="shared" si="21"/>
        <v>0</v>
      </c>
      <c r="BZ48" s="22">
        <f t="shared" si="22"/>
        <v>0</v>
      </c>
      <c r="CA48" s="22">
        <f t="shared" si="51"/>
        <v>0</v>
      </c>
      <c r="CB48" s="22">
        <f t="shared" si="52"/>
        <v>0</v>
      </c>
      <c r="CD48" s="22">
        <f>CD$5+SUM(CE$5:CE47)+SUM(R$5:R47)-SUM(S$5:S47)-SUM(CF$5:CF47)</f>
        <v>300000</v>
      </c>
      <c r="CE48" s="22">
        <f t="shared" si="44"/>
        <v>0</v>
      </c>
      <c r="CF48" s="22">
        <f t="shared" si="23"/>
        <v>0</v>
      </c>
      <c r="CG48" s="22">
        <f t="shared" si="45"/>
        <v>0</v>
      </c>
      <c r="CI48" s="89">
        <f t="shared" si="24"/>
        <v>0.84289999999999998</v>
      </c>
      <c r="CJ48" s="22">
        <f t="shared" si="25"/>
        <v>0</v>
      </c>
      <c r="CK48" s="15">
        <f t="shared" si="46"/>
        <v>0</v>
      </c>
      <c r="CM48" s="22">
        <f t="shared" si="47"/>
        <v>0</v>
      </c>
      <c r="CN48" s="15">
        <f t="shared" si="53"/>
        <v>0</v>
      </c>
    </row>
    <row r="49" spans="1:92">
      <c r="A49" s="25"/>
      <c r="B49" s="80">
        <v>38596</v>
      </c>
      <c r="C49" s="81">
        <f t="shared" si="0"/>
        <v>2.5337999999999998</v>
      </c>
      <c r="D49" s="82">
        <f t="shared" si="48"/>
        <v>2.6098140000000001</v>
      </c>
      <c r="E49" s="73">
        <f t="shared" si="54"/>
        <v>0</v>
      </c>
      <c r="F49" s="19">
        <f t="shared" si="55"/>
        <v>0</v>
      </c>
      <c r="G49" s="19">
        <f t="shared" si="56"/>
        <v>0</v>
      </c>
      <c r="H49" s="19">
        <f t="shared" si="57"/>
        <v>0</v>
      </c>
      <c r="I49" s="62"/>
      <c r="J49" s="15" t="str">
        <f t="shared" si="58"/>
        <v xml:space="preserve"> </v>
      </c>
      <c r="K49" s="15">
        <f>IF(B49&lt;=Dane_kredytowe!F$9,0,K48+1)</f>
        <v>0</v>
      </c>
      <c r="L49" s="83">
        <f t="shared" si="1"/>
        <v>7.6E-3</v>
      </c>
      <c r="M49" s="84">
        <f>L49+Dane_kredytowe!F$12</f>
        <v>3.7600000000000001E-2</v>
      </c>
      <c r="N49" s="79">
        <f>MAX(Dane_kredytowe!F$17+SUM(AA$5:AA48)-SUM(X$5:X49)+SUM(W$5:W49),0)</f>
        <v>95134.46</v>
      </c>
      <c r="O49" s="85">
        <f>MAX(Dane_kredytowe!F$8+SUM(V$5:V48)-SUM(S$5:S49)+SUM(R$5:R48),0)</f>
        <v>300000</v>
      </c>
      <c r="P49" s="67">
        <f t="shared" si="59"/>
        <v>360</v>
      </c>
      <c r="Q49" s="127" t="str">
        <f>IF(AND(K49&gt;0,K49&lt;=Dane_kredytowe!F$16),"tak","nie")</f>
        <v>nie</v>
      </c>
      <c r="R49" s="69"/>
      <c r="S49" s="86">
        <f>IF(Dane_kredytowe!F$19=B49,O48+V48,_xlfn.XLOOKUP(B49,Dane_kredytowe!M$9:M$18,Dane_kredytowe!N$9:N$18,0))</f>
        <v>0</v>
      </c>
      <c r="T49" s="71">
        <f t="shared" si="2"/>
        <v>0</v>
      </c>
      <c r="U49" s="72">
        <f>IF(Q49="tak",T49,IF(P49-SUM(AB$5:AB49)+1&gt;0,IF(Dane_kredytowe!F$9&lt;B49,IF(SUM(AB$5:AB49)-Dane_kredytowe!F$16+1&gt;0,PMT(M49/12,P49+1-SUM(AB$5:AB49),O49),T49),0),0))</f>
        <v>0</v>
      </c>
      <c r="V49" s="72">
        <f t="shared" si="32"/>
        <v>0</v>
      </c>
      <c r="W49" s="19" t="str">
        <f t="shared" si="33"/>
        <v xml:space="preserve"> </v>
      </c>
      <c r="X49" s="19">
        <f t="shared" si="3"/>
        <v>0</v>
      </c>
      <c r="Y49" s="73">
        <f t="shared" si="4"/>
        <v>0</v>
      </c>
      <c r="Z49" s="19">
        <f>IF(P49-SUM(AB$5:AB49)+1&gt;0,IF(Dane_kredytowe!F$9&lt;B49,IF(SUM(AB$5:AB49)-Dane_kredytowe!F$16+1&gt;0,PMT(M49/12,P49+1-SUM(AB$5:AB49),N49),Y49),0),0)</f>
        <v>0</v>
      </c>
      <c r="AA49" s="19">
        <f t="shared" si="60"/>
        <v>0</v>
      </c>
      <c r="AB49" s="20" t="str">
        <f>IF(AND(Dane_kredytowe!F$9&lt;B49,SUM(AB$5:AB48)&lt;P48),1," ")</f>
        <v xml:space="preserve"> </v>
      </c>
      <c r="AD49" s="75">
        <f>IF(OR(B49&lt;Dane_kredytowe!F$15,Dane_kredytowe!F$15=""),-F49+S49,0)</f>
        <v>0</v>
      </c>
      <c r="AE49" s="75">
        <f t="shared" si="5"/>
        <v>0</v>
      </c>
      <c r="AG49" s="22">
        <f>Dane_kredytowe!F$17-SUM(AI$5:AI48)+SUM(W$42:W49)-SUM(X$42:X49)</f>
        <v>95134.46</v>
      </c>
      <c r="AH49" s="22">
        <f t="shared" si="6"/>
        <v>0</v>
      </c>
      <c r="AI49" s="22">
        <f t="shared" si="7"/>
        <v>0</v>
      </c>
      <c r="AJ49" s="22">
        <f t="shared" si="61"/>
        <v>0</v>
      </c>
      <c r="AK49" s="22">
        <f t="shared" si="8"/>
        <v>0</v>
      </c>
      <c r="AL49" s="22">
        <f>Dane_kredytowe!F$8-SUM(AN$5:AN48)+SUM(R$42:R48)-SUM(S$42:S49)</f>
        <v>300000</v>
      </c>
      <c r="AM49" s="22">
        <f t="shared" si="9"/>
        <v>0</v>
      </c>
      <c r="AN49" s="22">
        <f t="shared" si="10"/>
        <v>0</v>
      </c>
      <c r="AO49" s="22">
        <f t="shared" si="62"/>
        <v>0</v>
      </c>
      <c r="AP49" s="22">
        <f t="shared" si="63"/>
        <v>0</v>
      </c>
      <c r="AR49" s="87">
        <f t="shared" si="11"/>
        <v>38596</v>
      </c>
      <c r="AS49" s="23">
        <f>AS$5+SUM(AV$5:AV48)-SUM(X$5:X49)+SUM(W$5:W49)</f>
        <v>139056.27143784185</v>
      </c>
      <c r="AT49" s="22">
        <f t="shared" si="12"/>
        <v>0</v>
      </c>
      <c r="AU49" s="22">
        <f>IF(AB49=1,IF(Q49="tak",AT49,PMT(M49/12,P49+1-SUM(AB$5:AB49),AS49)),0)</f>
        <v>0</v>
      </c>
      <c r="AV49" s="22">
        <f t="shared" si="64"/>
        <v>0</v>
      </c>
      <c r="AW49" s="22">
        <f t="shared" si="13"/>
        <v>0</v>
      </c>
      <c r="AY49" s="23">
        <f>AY$5+SUM(BA$5:BA48)+SUM(W$5:W48)-SUM(X$5:X48)</f>
        <v>139056.27143784185</v>
      </c>
      <c r="AZ49" s="23">
        <f t="shared" si="14"/>
        <v>0</v>
      </c>
      <c r="BA49" s="23">
        <f t="shared" si="15"/>
        <v>0</v>
      </c>
      <c r="BB49" s="23">
        <f t="shared" si="65"/>
        <v>0</v>
      </c>
      <c r="BC49" s="23">
        <f t="shared" si="16"/>
        <v>0</v>
      </c>
      <c r="BE49" s="88">
        <f t="shared" si="17"/>
        <v>4.5100000000000001E-2</v>
      </c>
      <c r="BF49" s="89">
        <f>BE49+Dane_kredytowe!F$12</f>
        <v>7.51E-2</v>
      </c>
      <c r="BG49" s="23">
        <f>BG$5+SUM(BH$5:BH48)+SUM(R$5:R48)-SUM(S$5:S48)</f>
        <v>300000</v>
      </c>
      <c r="BH49" s="22">
        <f t="shared" si="66"/>
        <v>0</v>
      </c>
      <c r="BI49" s="22">
        <f t="shared" si="67"/>
        <v>0</v>
      </c>
      <c r="BJ49" s="22">
        <f>IF(U49&lt;0,PMT(BF49/12,Dane_kredytowe!F$13-SUM(AB$5:AB49)+1,BG49),0)</f>
        <v>0</v>
      </c>
      <c r="BL49" s="23">
        <f>BL$5+SUM(BN$5:BN48)+SUM(R$5:R48)-SUM(S$5:S48)</f>
        <v>300000</v>
      </c>
      <c r="BM49" s="23">
        <f t="shared" si="18"/>
        <v>0</v>
      </c>
      <c r="BN49" s="23">
        <f t="shared" si="19"/>
        <v>0</v>
      </c>
      <c r="BO49" s="23">
        <f t="shared" si="20"/>
        <v>0</v>
      </c>
      <c r="BQ49" s="89">
        <f t="shared" si="42"/>
        <v>6.1800000000000001E-2</v>
      </c>
      <c r="BR49" s="23">
        <f>BR$5+SUM(BS$5:BS48)+SUM(R$5:R48)-SUM(S$5:S48)+SUM(BV$5:BV48)</f>
        <v>300000</v>
      </c>
      <c r="BS49" s="22">
        <f t="shared" si="49"/>
        <v>0</v>
      </c>
      <c r="BT49" s="22">
        <f t="shared" si="50"/>
        <v>0</v>
      </c>
      <c r="BU49" s="22">
        <f>IF(U49&lt;0,PMT(BQ49/12,Dane_kredytowe!F$13-SUM(AB$5:AB49)+1,BR49),0)</f>
        <v>0</v>
      </c>
      <c r="BV49" s="22">
        <f t="shared" si="43"/>
        <v>0</v>
      </c>
      <c r="BX49" s="23">
        <f>BX$5+SUM(BZ$5:BZ48)+SUM(R$5:R48)-SUM(S$5:S48)+SUM(CB$5,CB48)</f>
        <v>300000</v>
      </c>
      <c r="BY49" s="22">
        <f t="shared" si="21"/>
        <v>0</v>
      </c>
      <c r="BZ49" s="22">
        <f t="shared" si="22"/>
        <v>0</v>
      </c>
      <c r="CA49" s="22">
        <f t="shared" si="51"/>
        <v>0</v>
      </c>
      <c r="CB49" s="22">
        <f t="shared" si="52"/>
        <v>0</v>
      </c>
      <c r="CD49" s="22">
        <f>CD$5+SUM(CE$5:CE48)+SUM(R$5:R48)-SUM(S$5:S48)-SUM(CF$5:CF48)</f>
        <v>300000</v>
      </c>
      <c r="CE49" s="22">
        <f t="shared" si="44"/>
        <v>0</v>
      </c>
      <c r="CF49" s="22">
        <f t="shared" si="23"/>
        <v>0</v>
      </c>
      <c r="CG49" s="22">
        <f t="shared" si="45"/>
        <v>0</v>
      </c>
      <c r="CI49" s="89">
        <f t="shared" si="24"/>
        <v>0.83550000000000002</v>
      </c>
      <c r="CJ49" s="22">
        <f t="shared" si="25"/>
        <v>0</v>
      </c>
      <c r="CK49" s="15">
        <f t="shared" si="46"/>
        <v>0</v>
      </c>
      <c r="CM49" s="22">
        <f t="shared" si="47"/>
        <v>0</v>
      </c>
      <c r="CN49" s="15">
        <f t="shared" si="53"/>
        <v>0</v>
      </c>
    </row>
    <row r="50" spans="1:92">
      <c r="A50" s="25"/>
      <c r="B50" s="80">
        <v>38626</v>
      </c>
      <c r="C50" s="81">
        <f t="shared" si="0"/>
        <v>2.5343</v>
      </c>
      <c r="D50" s="82">
        <f t="shared" si="48"/>
        <v>2.6103290000000001</v>
      </c>
      <c r="E50" s="73">
        <f t="shared" si="54"/>
        <v>0</v>
      </c>
      <c r="F50" s="19">
        <f t="shared" si="55"/>
        <v>0</v>
      </c>
      <c r="G50" s="19">
        <f t="shared" si="56"/>
        <v>0</v>
      </c>
      <c r="H50" s="19">
        <f t="shared" si="57"/>
        <v>0</v>
      </c>
      <c r="I50" s="62"/>
      <c r="J50" s="15" t="str">
        <f t="shared" si="58"/>
        <v xml:space="preserve"> </v>
      </c>
      <c r="K50" s="15">
        <f>IF(B50&lt;=Dane_kredytowe!F$9,0,K49+1)</f>
        <v>0</v>
      </c>
      <c r="L50" s="83">
        <f t="shared" si="1"/>
        <v>7.9830000000000005E-3</v>
      </c>
      <c r="M50" s="84">
        <f>L50+Dane_kredytowe!F$12</f>
        <v>3.7983000000000003E-2</v>
      </c>
      <c r="N50" s="79">
        <f>MAX(Dane_kredytowe!F$17+SUM(AA$5:AA49)-SUM(X$5:X50)+SUM(W$5:W50),0)</f>
        <v>95134.46</v>
      </c>
      <c r="O50" s="85">
        <f>MAX(Dane_kredytowe!F$8+SUM(V$5:V49)-SUM(S$5:S50)+SUM(R$5:R49),0)</f>
        <v>300000</v>
      </c>
      <c r="P50" s="67">
        <f t="shared" si="59"/>
        <v>360</v>
      </c>
      <c r="Q50" s="127" t="str">
        <f>IF(AND(K50&gt;0,K50&lt;=Dane_kredytowe!F$16),"tak","nie")</f>
        <v>nie</v>
      </c>
      <c r="R50" s="69"/>
      <c r="S50" s="86">
        <f>IF(Dane_kredytowe!F$19=B50,O49+V49,_xlfn.XLOOKUP(B50,Dane_kredytowe!M$9:M$18,Dane_kredytowe!N$9:N$18,0))</f>
        <v>0</v>
      </c>
      <c r="T50" s="71">
        <f t="shared" si="2"/>
        <v>0</v>
      </c>
      <c r="U50" s="72">
        <f>IF(Q50="tak",T50,IF(P50-SUM(AB$5:AB50)+1&gt;0,IF(Dane_kredytowe!F$9&lt;B50,IF(SUM(AB$5:AB50)-Dane_kredytowe!F$16+1&gt;0,PMT(M50/12,P50+1-SUM(AB$5:AB50),O50),T50),0),0))</f>
        <v>0</v>
      </c>
      <c r="V50" s="72">
        <f t="shared" si="32"/>
        <v>0</v>
      </c>
      <c r="W50" s="19" t="str">
        <f t="shared" si="33"/>
        <v xml:space="preserve"> </v>
      </c>
      <c r="X50" s="19">
        <f t="shared" si="3"/>
        <v>0</v>
      </c>
      <c r="Y50" s="73">
        <f t="shared" si="4"/>
        <v>0</v>
      </c>
      <c r="Z50" s="19">
        <f>IF(P50-SUM(AB$5:AB50)+1&gt;0,IF(Dane_kredytowe!F$9&lt;B50,IF(SUM(AB$5:AB50)-Dane_kredytowe!F$16+1&gt;0,PMT(M50/12,P50+1-SUM(AB$5:AB50),N50),Y50),0),0)</f>
        <v>0</v>
      </c>
      <c r="AA50" s="19">
        <f t="shared" si="60"/>
        <v>0</v>
      </c>
      <c r="AB50" s="20" t="str">
        <f>IF(AND(Dane_kredytowe!F$9&lt;B50,SUM(AB$5:AB49)&lt;P49),1," ")</f>
        <v xml:space="preserve"> </v>
      </c>
      <c r="AD50" s="75">
        <f>IF(OR(B50&lt;Dane_kredytowe!F$15,Dane_kredytowe!F$15=""),-F50+S50,0)</f>
        <v>0</v>
      </c>
      <c r="AE50" s="75">
        <f t="shared" si="5"/>
        <v>0</v>
      </c>
      <c r="AG50" s="22">
        <f>Dane_kredytowe!F$17-SUM(AI$5:AI49)+SUM(W$42:W50)-SUM(X$42:X50)</f>
        <v>95134.46</v>
      </c>
      <c r="AH50" s="22">
        <f t="shared" si="6"/>
        <v>0</v>
      </c>
      <c r="AI50" s="22">
        <f t="shared" si="7"/>
        <v>0</v>
      </c>
      <c r="AJ50" s="22">
        <f t="shared" si="61"/>
        <v>0</v>
      </c>
      <c r="AK50" s="22">
        <f t="shared" si="8"/>
        <v>0</v>
      </c>
      <c r="AL50" s="22">
        <f>Dane_kredytowe!F$8-SUM(AN$5:AN49)+SUM(R$42:R49)-SUM(S$42:S50)</f>
        <v>300000</v>
      </c>
      <c r="AM50" s="22">
        <f t="shared" si="9"/>
        <v>0</v>
      </c>
      <c r="AN50" s="22">
        <f t="shared" si="10"/>
        <v>0</v>
      </c>
      <c r="AO50" s="22">
        <f t="shared" si="62"/>
        <v>0</v>
      </c>
      <c r="AP50" s="22">
        <f t="shared" si="63"/>
        <v>0</v>
      </c>
      <c r="AR50" s="87">
        <f t="shared" si="11"/>
        <v>38626</v>
      </c>
      <c r="AS50" s="23">
        <f>AS$5+SUM(AV$5:AV49)-SUM(X$5:X50)+SUM(W$5:W50)</f>
        <v>139056.27143784185</v>
      </c>
      <c r="AT50" s="22">
        <f t="shared" si="12"/>
        <v>0</v>
      </c>
      <c r="AU50" s="22">
        <f>IF(AB50=1,IF(Q50="tak",AT50,PMT(M50/12,P50+1-SUM(AB$5:AB50),AS50)),0)</f>
        <v>0</v>
      </c>
      <c r="AV50" s="22">
        <f t="shared" si="64"/>
        <v>0</v>
      </c>
      <c r="AW50" s="22">
        <f t="shared" si="13"/>
        <v>0</v>
      </c>
      <c r="AY50" s="23">
        <f>AY$5+SUM(BA$5:BA49)+SUM(W$5:W49)-SUM(X$5:X49)</f>
        <v>139056.27143784185</v>
      </c>
      <c r="AZ50" s="23">
        <f t="shared" si="14"/>
        <v>0</v>
      </c>
      <c r="BA50" s="23">
        <f t="shared" si="15"/>
        <v>0</v>
      </c>
      <c r="BB50" s="23">
        <f t="shared" si="65"/>
        <v>0</v>
      </c>
      <c r="BC50" s="23">
        <f t="shared" si="16"/>
        <v>0</v>
      </c>
      <c r="BE50" s="88">
        <f t="shared" si="17"/>
        <v>4.5499999999999999E-2</v>
      </c>
      <c r="BF50" s="89">
        <f>BE50+Dane_kredytowe!F$12</f>
        <v>7.5499999999999998E-2</v>
      </c>
      <c r="BG50" s="23">
        <f>BG$5+SUM(BH$5:BH49)+SUM(R$5:R49)-SUM(S$5:S49)</f>
        <v>300000</v>
      </c>
      <c r="BH50" s="22">
        <f t="shared" si="66"/>
        <v>0</v>
      </c>
      <c r="BI50" s="22">
        <f t="shared" si="67"/>
        <v>0</v>
      </c>
      <c r="BJ50" s="22">
        <f>IF(U50&lt;0,PMT(BF50/12,Dane_kredytowe!F$13-SUM(AB$5:AB50)+1,BG50),0)</f>
        <v>0</v>
      </c>
      <c r="BL50" s="23">
        <f>BL$5+SUM(BN$5:BN49)+SUM(R$5:R49)-SUM(S$5:S49)</f>
        <v>300000</v>
      </c>
      <c r="BM50" s="23">
        <f t="shared" si="18"/>
        <v>0</v>
      </c>
      <c r="BN50" s="23">
        <f t="shared" si="19"/>
        <v>0</v>
      </c>
      <c r="BO50" s="23">
        <f t="shared" si="20"/>
        <v>0</v>
      </c>
      <c r="BQ50" s="89">
        <f t="shared" si="42"/>
        <v>6.2199999999999998E-2</v>
      </c>
      <c r="BR50" s="23">
        <f>BR$5+SUM(BS$5:BS49)+SUM(R$5:R49)-SUM(S$5:S49)+SUM(BV$5:BV49)</f>
        <v>300000</v>
      </c>
      <c r="BS50" s="22">
        <f t="shared" si="49"/>
        <v>0</v>
      </c>
      <c r="BT50" s="22">
        <f t="shared" si="50"/>
        <v>0</v>
      </c>
      <c r="BU50" s="22">
        <f>IF(U50&lt;0,PMT(BQ50/12,Dane_kredytowe!F$13-SUM(AB$5:AB50)+1,BR50),0)</f>
        <v>0</v>
      </c>
      <c r="BV50" s="22">
        <f t="shared" si="43"/>
        <v>0</v>
      </c>
      <c r="BX50" s="23">
        <f>BX$5+SUM(BZ$5:BZ49)+SUM(R$5:R49)-SUM(S$5:S49)+SUM(CB$5,CB49)</f>
        <v>300000</v>
      </c>
      <c r="BY50" s="22">
        <f t="shared" si="21"/>
        <v>0</v>
      </c>
      <c r="BZ50" s="22">
        <f t="shared" si="22"/>
        <v>0</v>
      </c>
      <c r="CA50" s="22">
        <f t="shared" si="51"/>
        <v>0</v>
      </c>
      <c r="CB50" s="22">
        <f t="shared" si="52"/>
        <v>0</v>
      </c>
      <c r="CD50" s="22">
        <f>CD$5+SUM(CE$5:CE49)+SUM(R$5:R49)-SUM(S$5:S49)-SUM(CF$5:CF49)</f>
        <v>300000</v>
      </c>
      <c r="CE50" s="22">
        <f t="shared" si="44"/>
        <v>0</v>
      </c>
      <c r="CF50" s="22">
        <f t="shared" si="23"/>
        <v>0</v>
      </c>
      <c r="CG50" s="22">
        <f t="shared" si="45"/>
        <v>0</v>
      </c>
      <c r="CI50" s="89">
        <f t="shared" si="24"/>
        <v>0.82820000000000005</v>
      </c>
      <c r="CJ50" s="22">
        <f t="shared" si="25"/>
        <v>0</v>
      </c>
      <c r="CK50" s="15">
        <f t="shared" si="46"/>
        <v>0</v>
      </c>
      <c r="CM50" s="22">
        <f t="shared" si="47"/>
        <v>0</v>
      </c>
      <c r="CN50" s="15">
        <f t="shared" si="53"/>
        <v>0</v>
      </c>
    </row>
    <row r="51" spans="1:92">
      <c r="A51" s="25"/>
      <c r="B51" s="80">
        <v>38657</v>
      </c>
      <c r="C51" s="81">
        <f t="shared" si="0"/>
        <v>2.5703</v>
      </c>
      <c r="D51" s="82">
        <f t="shared" si="48"/>
        <v>2.6474090000000001</v>
      </c>
      <c r="E51" s="73">
        <f t="shared" si="54"/>
        <v>0</v>
      </c>
      <c r="F51" s="19">
        <f t="shared" si="55"/>
        <v>0</v>
      </c>
      <c r="G51" s="19">
        <f t="shared" si="56"/>
        <v>0</v>
      </c>
      <c r="H51" s="19">
        <f t="shared" si="57"/>
        <v>0</v>
      </c>
      <c r="I51" s="62"/>
      <c r="J51" s="15" t="str">
        <f t="shared" si="58"/>
        <v xml:space="preserve"> </v>
      </c>
      <c r="K51" s="15">
        <f>IF(B51&lt;=Dane_kredytowe!F$9,0,K50+1)</f>
        <v>0</v>
      </c>
      <c r="L51" s="83">
        <f t="shared" si="1"/>
        <v>8.6999999999999994E-3</v>
      </c>
      <c r="M51" s="84">
        <f>L51+Dane_kredytowe!F$12</f>
        <v>3.8699999999999998E-2</v>
      </c>
      <c r="N51" s="79">
        <f>MAX(Dane_kredytowe!F$17+SUM(AA$5:AA50)-SUM(X$5:X51)+SUM(W$5:W51),0)</f>
        <v>95134.46</v>
      </c>
      <c r="O51" s="85">
        <f>MAX(Dane_kredytowe!F$8+SUM(V$5:V50)-SUM(S$5:S51)+SUM(R$5:R50),0)</f>
        <v>300000</v>
      </c>
      <c r="P51" s="67">
        <f t="shared" si="59"/>
        <v>360</v>
      </c>
      <c r="Q51" s="127" t="str">
        <f>IF(AND(K51&gt;0,K51&lt;=Dane_kredytowe!F$16),"tak","nie")</f>
        <v>nie</v>
      </c>
      <c r="R51" s="69"/>
      <c r="S51" s="86">
        <f>IF(Dane_kredytowe!F$19=B51,O50+V50,_xlfn.XLOOKUP(B51,Dane_kredytowe!M$9:M$18,Dane_kredytowe!N$9:N$18,0))</f>
        <v>0</v>
      </c>
      <c r="T51" s="71">
        <f t="shared" si="2"/>
        <v>0</v>
      </c>
      <c r="U51" s="72">
        <f>IF(Q51="tak",T51,IF(P51-SUM(AB$5:AB51)+1&gt;0,IF(Dane_kredytowe!F$9&lt;B51,IF(SUM(AB$5:AB51)-Dane_kredytowe!F$16+1&gt;0,PMT(M51/12,P51+1-SUM(AB$5:AB51),O51),T51),0),0))</f>
        <v>0</v>
      </c>
      <c r="V51" s="72">
        <f t="shared" si="32"/>
        <v>0</v>
      </c>
      <c r="W51" s="19" t="str">
        <f t="shared" si="33"/>
        <v xml:space="preserve"> </v>
      </c>
      <c r="X51" s="19">
        <f t="shared" si="3"/>
        <v>0</v>
      </c>
      <c r="Y51" s="73">
        <f t="shared" si="4"/>
        <v>0</v>
      </c>
      <c r="Z51" s="19">
        <f>IF(P51-SUM(AB$5:AB51)+1&gt;0,IF(Dane_kredytowe!F$9&lt;B51,IF(SUM(AB$5:AB51)-Dane_kredytowe!F$16+1&gt;0,PMT(M51/12,P51+1-SUM(AB$5:AB51),N51),Y51),0),0)</f>
        <v>0</v>
      </c>
      <c r="AA51" s="19">
        <f t="shared" si="60"/>
        <v>0</v>
      </c>
      <c r="AB51" s="20" t="str">
        <f>IF(AND(Dane_kredytowe!F$9&lt;B51,SUM(AB$5:AB50)&lt;P50),1," ")</f>
        <v xml:space="preserve"> </v>
      </c>
      <c r="AD51" s="75">
        <f>IF(OR(B51&lt;Dane_kredytowe!F$15,Dane_kredytowe!F$15=""),-F51+S51,0)</f>
        <v>0</v>
      </c>
      <c r="AE51" s="75">
        <f t="shared" si="5"/>
        <v>0</v>
      </c>
      <c r="AG51" s="22">
        <f>Dane_kredytowe!F$17-SUM(AI$5:AI50)+SUM(W$42:W51)-SUM(X$42:X51)</f>
        <v>95134.46</v>
      </c>
      <c r="AH51" s="22">
        <f t="shared" si="6"/>
        <v>0</v>
      </c>
      <c r="AI51" s="22">
        <f t="shared" si="7"/>
        <v>0</v>
      </c>
      <c r="AJ51" s="22">
        <f t="shared" si="61"/>
        <v>0</v>
      </c>
      <c r="AK51" s="22">
        <f t="shared" si="8"/>
        <v>0</v>
      </c>
      <c r="AL51" s="22">
        <f>Dane_kredytowe!F$8-SUM(AN$5:AN50)+SUM(R$42:R50)-SUM(S$42:S51)</f>
        <v>300000</v>
      </c>
      <c r="AM51" s="22">
        <f t="shared" si="9"/>
        <v>0</v>
      </c>
      <c r="AN51" s="22">
        <f t="shared" si="10"/>
        <v>0</v>
      </c>
      <c r="AO51" s="22">
        <f t="shared" si="62"/>
        <v>0</v>
      </c>
      <c r="AP51" s="22">
        <f t="shared" si="63"/>
        <v>0</v>
      </c>
      <c r="AR51" s="87">
        <f t="shared" si="11"/>
        <v>38657</v>
      </c>
      <c r="AS51" s="23">
        <f>AS$5+SUM(AV$5:AV50)-SUM(X$5:X51)+SUM(W$5:W51)</f>
        <v>139056.27143784185</v>
      </c>
      <c r="AT51" s="22">
        <f t="shared" si="12"/>
        <v>0</v>
      </c>
      <c r="AU51" s="22">
        <f>IF(AB51=1,IF(Q51="tak",AT51,PMT(M51/12,P51+1-SUM(AB$5:AB51),AS51)),0)</f>
        <v>0</v>
      </c>
      <c r="AV51" s="22">
        <f t="shared" si="64"/>
        <v>0</v>
      </c>
      <c r="AW51" s="22">
        <f t="shared" si="13"/>
        <v>0</v>
      </c>
      <c r="AY51" s="23">
        <f>AY$5+SUM(BA$5:BA50)+SUM(W$5:W50)-SUM(X$5:X50)</f>
        <v>139056.27143784185</v>
      </c>
      <c r="AZ51" s="23">
        <f t="shared" si="14"/>
        <v>0</v>
      </c>
      <c r="BA51" s="23">
        <f t="shared" si="15"/>
        <v>0</v>
      </c>
      <c r="BB51" s="23">
        <f t="shared" si="65"/>
        <v>0</v>
      </c>
      <c r="BC51" s="23">
        <f t="shared" si="16"/>
        <v>0</v>
      </c>
      <c r="BE51" s="88">
        <f t="shared" si="17"/>
        <v>4.6399999999999997E-2</v>
      </c>
      <c r="BF51" s="89">
        <f>BE51+Dane_kredytowe!F$12</f>
        <v>7.6399999999999996E-2</v>
      </c>
      <c r="BG51" s="23">
        <f>BG$5+SUM(BH$5:BH50)+SUM(R$5:R50)-SUM(S$5:S50)</f>
        <v>300000</v>
      </c>
      <c r="BH51" s="22">
        <f t="shared" si="66"/>
        <v>0</v>
      </c>
      <c r="BI51" s="22">
        <f t="shared" si="67"/>
        <v>0</v>
      </c>
      <c r="BJ51" s="22">
        <f>IF(U51&lt;0,PMT(BF51/12,Dane_kredytowe!F$13-SUM(AB$5:AB51)+1,BG51),0)</f>
        <v>0</v>
      </c>
      <c r="BL51" s="23">
        <f>BL$5+SUM(BN$5:BN50)+SUM(R$5:R50)-SUM(S$5:S50)</f>
        <v>300000</v>
      </c>
      <c r="BM51" s="23">
        <f t="shared" si="18"/>
        <v>0</v>
      </c>
      <c r="BN51" s="23">
        <f t="shared" si="19"/>
        <v>0</v>
      </c>
      <c r="BO51" s="23">
        <f t="shared" si="20"/>
        <v>0</v>
      </c>
      <c r="BQ51" s="89">
        <f t="shared" si="42"/>
        <v>6.3099999999999989E-2</v>
      </c>
      <c r="BR51" s="23">
        <f>BR$5+SUM(BS$5:BS50)+SUM(R$5:R50)-SUM(S$5:S50)+SUM(BV$5:BV50)</f>
        <v>300000</v>
      </c>
      <c r="BS51" s="22">
        <f t="shared" si="49"/>
        <v>0</v>
      </c>
      <c r="BT51" s="22">
        <f t="shared" si="50"/>
        <v>0</v>
      </c>
      <c r="BU51" s="22">
        <f>IF(U51&lt;0,PMT(BQ51/12,Dane_kredytowe!F$13-SUM(AB$5:AB51)+1,BR51),0)</f>
        <v>0</v>
      </c>
      <c r="BV51" s="22">
        <f t="shared" si="43"/>
        <v>0</v>
      </c>
      <c r="BX51" s="23">
        <f>BX$5+SUM(BZ$5:BZ50)+SUM(R$5:R50)-SUM(S$5:S50)+SUM(CB$5,CB50)</f>
        <v>300000</v>
      </c>
      <c r="BY51" s="22">
        <f t="shared" si="21"/>
        <v>0</v>
      </c>
      <c r="BZ51" s="22">
        <f t="shared" si="22"/>
        <v>0</v>
      </c>
      <c r="CA51" s="22">
        <f t="shared" si="51"/>
        <v>0</v>
      </c>
      <c r="CB51" s="22">
        <f t="shared" si="52"/>
        <v>0</v>
      </c>
      <c r="CD51" s="22">
        <f>CD$5+SUM(CE$5:CE50)+SUM(R$5:R50)-SUM(S$5:S50)-SUM(CF$5:CF50)</f>
        <v>300000</v>
      </c>
      <c r="CE51" s="22">
        <f t="shared" si="44"/>
        <v>0</v>
      </c>
      <c r="CF51" s="22">
        <f t="shared" si="23"/>
        <v>0</v>
      </c>
      <c r="CG51" s="22">
        <f t="shared" si="45"/>
        <v>0</v>
      </c>
      <c r="CI51" s="89">
        <f t="shared" si="24"/>
        <v>0.83189999999999997</v>
      </c>
      <c r="CJ51" s="22">
        <f t="shared" si="25"/>
        <v>0</v>
      </c>
      <c r="CK51" s="15">
        <f t="shared" si="46"/>
        <v>0</v>
      </c>
      <c r="CM51" s="22">
        <f t="shared" si="47"/>
        <v>0</v>
      </c>
      <c r="CN51" s="15">
        <f t="shared" si="53"/>
        <v>0</v>
      </c>
    </row>
    <row r="52" spans="1:92">
      <c r="A52" s="25"/>
      <c r="B52" s="80">
        <v>38687</v>
      </c>
      <c r="C52" s="81">
        <f t="shared" si="0"/>
        <v>2.4908999999999999</v>
      </c>
      <c r="D52" s="82">
        <f t="shared" si="48"/>
        <v>2.5656270000000001</v>
      </c>
      <c r="E52" s="73">
        <f t="shared" si="54"/>
        <v>0</v>
      </c>
      <c r="F52" s="19">
        <f t="shared" si="55"/>
        <v>0</v>
      </c>
      <c r="G52" s="19">
        <f t="shared" si="56"/>
        <v>0</v>
      </c>
      <c r="H52" s="19">
        <f t="shared" si="57"/>
        <v>0</v>
      </c>
      <c r="I52" s="62"/>
      <c r="J52" s="15" t="str">
        <f t="shared" si="58"/>
        <v xml:space="preserve"> </v>
      </c>
      <c r="K52" s="15">
        <f>IF(B52&lt;=Dane_kredytowe!F$9,0,K51+1)</f>
        <v>0</v>
      </c>
      <c r="L52" s="83">
        <f t="shared" si="1"/>
        <v>1.0416999999999999E-2</v>
      </c>
      <c r="M52" s="84">
        <f>L52+Dane_kredytowe!F$12</f>
        <v>4.0416999999999995E-2</v>
      </c>
      <c r="N52" s="79">
        <f>MAX(Dane_kredytowe!F$17+SUM(AA$5:AA51)-SUM(X$5:X52)+SUM(W$5:W52),0)</f>
        <v>95134.46</v>
      </c>
      <c r="O52" s="85">
        <f>MAX(Dane_kredytowe!F$8+SUM(V$5:V51)-SUM(S$5:S52)+SUM(R$5:R51),0)</f>
        <v>300000</v>
      </c>
      <c r="P52" s="67">
        <f t="shared" si="59"/>
        <v>360</v>
      </c>
      <c r="Q52" s="127" t="str">
        <f>IF(AND(K52&gt;0,K52&lt;=Dane_kredytowe!F$16),"tak","nie")</f>
        <v>nie</v>
      </c>
      <c r="R52" s="69"/>
      <c r="S52" s="86">
        <f>IF(Dane_kredytowe!F$19=B52,O51+V51,_xlfn.XLOOKUP(B52,Dane_kredytowe!M$9:M$18,Dane_kredytowe!N$9:N$18,0))</f>
        <v>0</v>
      </c>
      <c r="T52" s="71">
        <f t="shared" si="2"/>
        <v>0</v>
      </c>
      <c r="U52" s="72">
        <f>IF(Q52="tak",T52,IF(P52-SUM(AB$5:AB52)+1&gt;0,IF(Dane_kredytowe!F$9&lt;B52,IF(SUM(AB$5:AB52)-Dane_kredytowe!F$16+1&gt;0,PMT(M52/12,P52+1-SUM(AB$5:AB52),O52),T52),0),0))</f>
        <v>0</v>
      </c>
      <c r="V52" s="72">
        <f t="shared" si="32"/>
        <v>0</v>
      </c>
      <c r="W52" s="19" t="str">
        <f t="shared" si="33"/>
        <v xml:space="preserve"> </v>
      </c>
      <c r="X52" s="19">
        <f t="shared" si="3"/>
        <v>0</v>
      </c>
      <c r="Y52" s="73">
        <f t="shared" si="4"/>
        <v>0</v>
      </c>
      <c r="Z52" s="19">
        <f>IF(P52-SUM(AB$5:AB52)+1&gt;0,IF(Dane_kredytowe!F$9&lt;B52,IF(SUM(AB$5:AB52)-Dane_kredytowe!F$16+1&gt;0,PMT(M52/12,P52+1-SUM(AB$5:AB52),N52),Y52),0),0)</f>
        <v>0</v>
      </c>
      <c r="AA52" s="19">
        <f t="shared" ref="AA52:AA115" si="68">Z52-Y52</f>
        <v>0</v>
      </c>
      <c r="AB52" s="20" t="str">
        <f>IF(AND(Dane_kredytowe!F$9&lt;B52,SUM(AB$5:AB51)&lt;P51),1," ")</f>
        <v xml:space="preserve"> </v>
      </c>
      <c r="AD52" s="75">
        <f>IF(OR(B52&lt;Dane_kredytowe!F$15,Dane_kredytowe!F$15=""),-F52+S52,0)</f>
        <v>0</v>
      </c>
      <c r="AE52" s="75">
        <f t="shared" si="5"/>
        <v>0</v>
      </c>
      <c r="AG52" s="22">
        <f>Dane_kredytowe!F$17-SUM(AI$5:AI51)+SUM(W$42:W52)-SUM(X$42:X52)</f>
        <v>95134.46</v>
      </c>
      <c r="AH52" s="22">
        <f t="shared" si="6"/>
        <v>0</v>
      </c>
      <c r="AI52" s="22">
        <f t="shared" si="7"/>
        <v>0</v>
      </c>
      <c r="AJ52" s="22">
        <f t="shared" si="61"/>
        <v>0</v>
      </c>
      <c r="AK52" s="22">
        <f t="shared" si="8"/>
        <v>0</v>
      </c>
      <c r="AL52" s="22">
        <f>Dane_kredytowe!F$8-SUM(AN$5:AN51)+SUM(R$42:R51)-SUM(S$42:S52)</f>
        <v>300000</v>
      </c>
      <c r="AM52" s="22">
        <f t="shared" si="9"/>
        <v>0</v>
      </c>
      <c r="AN52" s="22">
        <f t="shared" si="10"/>
        <v>0</v>
      </c>
      <c r="AO52" s="22">
        <f t="shared" si="62"/>
        <v>0</v>
      </c>
      <c r="AP52" s="22">
        <f t="shared" si="63"/>
        <v>0</v>
      </c>
      <c r="AR52" s="87">
        <f t="shared" si="11"/>
        <v>38687</v>
      </c>
      <c r="AS52" s="23">
        <f>AS$5+SUM(AV$5:AV51)-SUM(X$5:X52)+SUM(W$5:W52)</f>
        <v>139056.27143784185</v>
      </c>
      <c r="AT52" s="22">
        <f t="shared" si="12"/>
        <v>0</v>
      </c>
      <c r="AU52" s="22">
        <f>IF(AB52=1,IF(Q52="tak",AT52,PMT(M52/12,P52+1-SUM(AB$5:AB52),AS52)),0)</f>
        <v>0</v>
      </c>
      <c r="AV52" s="22">
        <f t="shared" si="64"/>
        <v>0</v>
      </c>
      <c r="AW52" s="22">
        <f t="shared" si="13"/>
        <v>0</v>
      </c>
      <c r="AY52" s="23">
        <f>AY$5+SUM(BA$5:BA51)+SUM(W$5:W51)-SUM(X$5:X51)</f>
        <v>139056.27143784185</v>
      </c>
      <c r="AZ52" s="23">
        <f t="shared" si="14"/>
        <v>0</v>
      </c>
      <c r="BA52" s="23">
        <f t="shared" si="15"/>
        <v>0</v>
      </c>
      <c r="BB52" s="23">
        <f t="shared" si="65"/>
        <v>0</v>
      </c>
      <c r="BC52" s="23">
        <f t="shared" si="16"/>
        <v>0</v>
      </c>
      <c r="BE52" s="88">
        <f t="shared" si="17"/>
        <v>4.6199999999999998E-2</v>
      </c>
      <c r="BF52" s="89">
        <f>BE52+Dane_kredytowe!F$12</f>
        <v>7.619999999999999E-2</v>
      </c>
      <c r="BG52" s="23">
        <f>BG$5+SUM(BH$5:BH51)+SUM(R$5:R51)-SUM(S$5:S51)</f>
        <v>300000</v>
      </c>
      <c r="BH52" s="22">
        <f t="shared" ref="BH52:BH115" si="69">IF(BJ52&lt;0,BJ52-BI52,0)</f>
        <v>0</v>
      </c>
      <c r="BI52" s="22">
        <f t="shared" si="67"/>
        <v>0</v>
      </c>
      <c r="BJ52" s="22">
        <f>IF(U52&lt;0,PMT(BF52/12,Dane_kredytowe!F$13-SUM(AB$5:AB52)+1,BG52),0)</f>
        <v>0</v>
      </c>
      <c r="BL52" s="23">
        <f>BL$5+SUM(BN$5:BN51)+SUM(R$5:R51)-SUM(S$5:S51)</f>
        <v>300000</v>
      </c>
      <c r="BM52" s="23">
        <f t="shared" si="18"/>
        <v>0</v>
      </c>
      <c r="BN52" s="23">
        <f t="shared" si="19"/>
        <v>0</v>
      </c>
      <c r="BO52" s="23">
        <f t="shared" si="20"/>
        <v>0</v>
      </c>
      <c r="BQ52" s="89">
        <f t="shared" si="42"/>
        <v>6.2899999999999998E-2</v>
      </c>
      <c r="BR52" s="23">
        <f>BR$5+SUM(BS$5:BS51)+SUM(R$5:R51)-SUM(S$5:S51)+SUM(BV$5:BV51)</f>
        <v>300000</v>
      </c>
      <c r="BS52" s="22">
        <f t="shared" si="49"/>
        <v>0</v>
      </c>
      <c r="BT52" s="22">
        <f t="shared" si="50"/>
        <v>0</v>
      </c>
      <c r="BU52" s="22">
        <f>IF(U52&lt;0,PMT(BQ52/12,Dane_kredytowe!F$13-SUM(AB$5:AB52)+1,BR52),0)</f>
        <v>0</v>
      </c>
      <c r="BV52" s="22">
        <f t="shared" si="43"/>
        <v>0</v>
      </c>
      <c r="BX52" s="23">
        <f>BX$5+SUM(BZ$5:BZ51)+SUM(R$5:R51)-SUM(S$5:S51)+SUM(CB$5,CB51)</f>
        <v>300000</v>
      </c>
      <c r="BY52" s="22">
        <f t="shared" si="21"/>
        <v>0</v>
      </c>
      <c r="BZ52" s="22">
        <f t="shared" si="22"/>
        <v>0</v>
      </c>
      <c r="CA52" s="22">
        <f t="shared" si="51"/>
        <v>0</v>
      </c>
      <c r="CB52" s="22">
        <f t="shared" si="52"/>
        <v>0</v>
      </c>
      <c r="CD52" s="22">
        <f>CD$5+SUM(CE$5:CE51)+SUM(R$5:R51)-SUM(S$5:S51)-SUM(CF$5:CF51)</f>
        <v>300000</v>
      </c>
      <c r="CE52" s="22">
        <f t="shared" si="44"/>
        <v>0</v>
      </c>
      <c r="CF52" s="22">
        <f t="shared" si="23"/>
        <v>0</v>
      </c>
      <c r="CG52" s="22">
        <f t="shared" si="45"/>
        <v>0</v>
      </c>
      <c r="CI52" s="89">
        <f t="shared" si="24"/>
        <v>0.83550000000000002</v>
      </c>
      <c r="CJ52" s="22">
        <f t="shared" si="25"/>
        <v>0</v>
      </c>
      <c r="CK52" s="15">
        <f t="shared" si="46"/>
        <v>0</v>
      </c>
      <c r="CM52" s="22">
        <f t="shared" si="47"/>
        <v>0</v>
      </c>
      <c r="CN52" s="15">
        <f t="shared" si="53"/>
        <v>0</v>
      </c>
    </row>
    <row r="53" spans="1:92">
      <c r="A53" s="25">
        <v>2006</v>
      </c>
      <c r="B53" s="80">
        <v>38718</v>
      </c>
      <c r="C53" s="81">
        <f t="shared" si="0"/>
        <v>2.4678</v>
      </c>
      <c r="D53" s="82">
        <f t="shared" si="48"/>
        <v>2.5418340000000001</v>
      </c>
      <c r="E53" s="73">
        <f t="shared" si="54"/>
        <v>0</v>
      </c>
      <c r="F53" s="19">
        <f t="shared" si="55"/>
        <v>0</v>
      </c>
      <c r="G53" s="19">
        <f t="shared" si="56"/>
        <v>0</v>
      </c>
      <c r="H53" s="19">
        <f t="shared" si="57"/>
        <v>0</v>
      </c>
      <c r="I53" s="62"/>
      <c r="J53" s="15" t="str">
        <f t="shared" si="58"/>
        <v xml:space="preserve"> </v>
      </c>
      <c r="K53" s="15">
        <f>IF(B53&lt;=Dane_kredytowe!F$9,0,K52+1)</f>
        <v>0</v>
      </c>
      <c r="L53" s="83">
        <f t="shared" si="1"/>
        <v>1.01E-2</v>
      </c>
      <c r="M53" s="84">
        <f>L53+Dane_kredytowe!F$12</f>
        <v>4.0099999999999997E-2</v>
      </c>
      <c r="N53" s="79">
        <f>MAX(Dane_kredytowe!F$17+SUM(AA$5:AA52)-SUM(X$5:X53)+SUM(W$5:W53),0)</f>
        <v>95134.46</v>
      </c>
      <c r="O53" s="85">
        <f>MAX(Dane_kredytowe!F$8+SUM(V$5:V52)-SUM(S$5:S53)+SUM(R$5:R52),0)</f>
        <v>300000</v>
      </c>
      <c r="P53" s="67">
        <f t="shared" si="59"/>
        <v>360</v>
      </c>
      <c r="Q53" s="127" t="str">
        <f>IF(AND(K53&gt;0,K53&lt;=Dane_kredytowe!F$16),"tak","nie")</f>
        <v>nie</v>
      </c>
      <c r="R53" s="69"/>
      <c r="S53" s="86">
        <f>IF(Dane_kredytowe!F$19=B53,O52+V52,_xlfn.XLOOKUP(B53,Dane_kredytowe!M$9:M$18,Dane_kredytowe!N$9:N$18,0))</f>
        <v>0</v>
      </c>
      <c r="T53" s="71">
        <f t="shared" si="2"/>
        <v>0</v>
      </c>
      <c r="U53" s="72">
        <f>IF(Q53="tak",T53,IF(P53-SUM(AB$5:AB53)+1&gt;0,IF(Dane_kredytowe!F$9&lt;B53,IF(SUM(AB$5:AB53)-Dane_kredytowe!F$16+1&gt;0,PMT(M53/12,P53+1-SUM(AB$5:AB53),O53),T53),0),0))</f>
        <v>0</v>
      </c>
      <c r="V53" s="72">
        <f t="shared" si="32"/>
        <v>0</v>
      </c>
      <c r="W53" s="19" t="str">
        <f t="shared" si="33"/>
        <v xml:space="preserve"> </v>
      </c>
      <c r="X53" s="19">
        <f t="shared" si="3"/>
        <v>0</v>
      </c>
      <c r="Y53" s="73">
        <f t="shared" si="4"/>
        <v>0</v>
      </c>
      <c r="Z53" s="19">
        <f>IF(P53-SUM(AB$5:AB53)+1&gt;0,IF(Dane_kredytowe!F$9&lt;B53,IF(SUM(AB$5:AB53)-Dane_kredytowe!F$16+1&gt;0,PMT(M53/12,P53+1-SUM(AB$5:AB53),N53),Y53),0),0)</f>
        <v>0</v>
      </c>
      <c r="AA53" s="19">
        <f t="shared" si="68"/>
        <v>0</v>
      </c>
      <c r="AB53" s="20" t="str">
        <f>IF(AND(Dane_kredytowe!F$9&lt;B53,SUM(AB$5:AB52)&lt;P52),1," ")</f>
        <v xml:space="preserve"> </v>
      </c>
      <c r="AD53" s="75">
        <f>IF(OR(B53&lt;Dane_kredytowe!F$15,Dane_kredytowe!F$15=""),-F53+S53,0)</f>
        <v>0</v>
      </c>
      <c r="AE53" s="75">
        <f t="shared" si="5"/>
        <v>0</v>
      </c>
      <c r="AG53" s="22">
        <f>Dane_kredytowe!F$17-SUM(AI$5:AI52)+SUM(W$42:W53)-SUM(X$42:X53)</f>
        <v>95134.46</v>
      </c>
      <c r="AH53" s="22">
        <f t="shared" si="6"/>
        <v>0</v>
      </c>
      <c r="AI53" s="22">
        <f t="shared" si="7"/>
        <v>0</v>
      </c>
      <c r="AJ53" s="22">
        <f t="shared" si="61"/>
        <v>0</v>
      </c>
      <c r="AK53" s="22">
        <f t="shared" si="8"/>
        <v>0</v>
      </c>
      <c r="AL53" s="22">
        <f>Dane_kredytowe!F$8-SUM(AN$5:AN52)+SUM(R$42:R52)-SUM(S$42:S53)</f>
        <v>300000</v>
      </c>
      <c r="AM53" s="22">
        <f t="shared" si="9"/>
        <v>0</v>
      </c>
      <c r="AN53" s="22">
        <f t="shared" si="10"/>
        <v>0</v>
      </c>
      <c r="AO53" s="22">
        <f t="shared" si="62"/>
        <v>0</v>
      </c>
      <c r="AP53" s="22">
        <f t="shared" si="63"/>
        <v>0</v>
      </c>
      <c r="AR53" s="87">
        <f t="shared" si="11"/>
        <v>38718</v>
      </c>
      <c r="AS53" s="23">
        <f>AS$5+SUM(AV$5:AV52)-SUM(X$5:X53)+SUM(W$5:W53)</f>
        <v>139056.27143784185</v>
      </c>
      <c r="AT53" s="22">
        <f t="shared" si="12"/>
        <v>0</v>
      </c>
      <c r="AU53" s="22">
        <f>IF(AB53=1,IF(Q53="tak",AT53,PMT(M53/12,P53+1-SUM(AB$5:AB53),AS53)),0)</f>
        <v>0</v>
      </c>
      <c r="AV53" s="22">
        <f t="shared" si="64"/>
        <v>0</v>
      </c>
      <c r="AW53" s="22">
        <f t="shared" si="13"/>
        <v>0</v>
      </c>
      <c r="AY53" s="23">
        <f>AY$5+SUM(BA$5:BA52)+SUM(W$5:W52)-SUM(X$5:X52)</f>
        <v>139056.27143784185</v>
      </c>
      <c r="AZ53" s="23">
        <f t="shared" si="14"/>
        <v>0</v>
      </c>
      <c r="BA53" s="23">
        <f t="shared" si="15"/>
        <v>0</v>
      </c>
      <c r="BB53" s="23">
        <f t="shared" si="65"/>
        <v>0</v>
      </c>
      <c r="BC53" s="23">
        <f t="shared" si="16"/>
        <v>0</v>
      </c>
      <c r="BE53" s="88">
        <f t="shared" si="17"/>
        <v>4.4900000000000002E-2</v>
      </c>
      <c r="BF53" s="89">
        <f>BE53+Dane_kredytowe!F$12</f>
        <v>7.4899999999999994E-2</v>
      </c>
      <c r="BG53" s="23">
        <f>BG$5+SUM(BH$5:BH52)+SUM(R$5:R52)-SUM(S$5:S52)</f>
        <v>300000</v>
      </c>
      <c r="BH53" s="22">
        <f t="shared" si="69"/>
        <v>0</v>
      </c>
      <c r="BI53" s="22">
        <f t="shared" si="67"/>
        <v>0</v>
      </c>
      <c r="BJ53" s="22">
        <f>IF(U53&lt;0,PMT(BF53/12,Dane_kredytowe!F$13-SUM(AB$5:AB53)+1,BG53),0)</f>
        <v>0</v>
      </c>
      <c r="BL53" s="23">
        <f>BL$5+SUM(BN$5:BN52)+SUM(R$5:R52)-SUM(S$5:S52)</f>
        <v>300000</v>
      </c>
      <c r="BM53" s="23">
        <f t="shared" si="18"/>
        <v>0</v>
      </c>
      <c r="BN53" s="23">
        <f t="shared" si="19"/>
        <v>0</v>
      </c>
      <c r="BO53" s="23">
        <f t="shared" si="20"/>
        <v>0</v>
      </c>
      <c r="BQ53" s="89">
        <f t="shared" si="42"/>
        <v>6.1600000000000002E-2</v>
      </c>
      <c r="BR53" s="23">
        <f>BR$5+SUM(BS$5:BS52)+SUM(R$5:R52)-SUM(S$5:S52)+SUM(BV$5:BV52)</f>
        <v>300000</v>
      </c>
      <c r="BS53" s="22">
        <f t="shared" si="49"/>
        <v>0</v>
      </c>
      <c r="BT53" s="22">
        <f t="shared" si="50"/>
        <v>0</v>
      </c>
      <c r="BU53" s="22">
        <f>IF(U53&lt;0,PMT(BQ53/12,Dane_kredytowe!F$13-SUM(AB$5:AB53)+1,BR53),0)</f>
        <v>0</v>
      </c>
      <c r="BV53" s="22">
        <f t="shared" si="43"/>
        <v>0</v>
      </c>
      <c r="BX53" s="23">
        <f>BX$5+SUM(BZ$5:BZ52)+SUM(R$5:R52)-SUM(S$5:S52)+SUM(CB$5,CB52)</f>
        <v>300000</v>
      </c>
      <c r="BY53" s="22">
        <f t="shared" si="21"/>
        <v>0</v>
      </c>
      <c r="BZ53" s="22">
        <f t="shared" si="22"/>
        <v>0</v>
      </c>
      <c r="CA53" s="22">
        <f t="shared" si="51"/>
        <v>0</v>
      </c>
      <c r="CB53" s="22">
        <f t="shared" si="52"/>
        <v>0</v>
      </c>
      <c r="CD53" s="22">
        <f>CD$5+SUM(CE$5:CE52)+SUM(R$5:R52)-SUM(S$5:S52)-SUM(CF$5:CF52)</f>
        <v>300000</v>
      </c>
      <c r="CE53" s="22">
        <f t="shared" si="44"/>
        <v>0</v>
      </c>
      <c r="CF53" s="22">
        <f t="shared" si="23"/>
        <v>0</v>
      </c>
      <c r="CG53" s="22">
        <f t="shared" si="45"/>
        <v>0</v>
      </c>
      <c r="CI53" s="89">
        <f t="shared" si="24"/>
        <v>0.83189999999999997</v>
      </c>
      <c r="CJ53" s="22">
        <f t="shared" si="25"/>
        <v>0</v>
      </c>
      <c r="CK53" s="15">
        <f t="shared" si="46"/>
        <v>0</v>
      </c>
      <c r="CM53" s="22">
        <f t="shared" si="47"/>
        <v>0</v>
      </c>
      <c r="CN53" s="15">
        <f t="shared" si="53"/>
        <v>0</v>
      </c>
    </row>
    <row r="54" spans="1:92">
      <c r="A54" s="25"/>
      <c r="B54" s="80">
        <v>38749</v>
      </c>
      <c r="C54" s="81">
        <f t="shared" si="0"/>
        <v>2.4352</v>
      </c>
      <c r="D54" s="82">
        <f t="shared" si="48"/>
        <v>2.5082560000000003</v>
      </c>
      <c r="E54" s="73">
        <f t="shared" si="54"/>
        <v>0</v>
      </c>
      <c r="F54" s="19">
        <f t="shared" ref="F54:F117" si="70">E54*D54</f>
        <v>0</v>
      </c>
      <c r="G54" s="19">
        <f t="shared" si="56"/>
        <v>0</v>
      </c>
      <c r="H54" s="19">
        <f t="shared" ref="H54:H117" si="71">G54-F54</f>
        <v>0</v>
      </c>
      <c r="I54" s="62"/>
      <c r="J54" s="15" t="str">
        <f t="shared" si="58"/>
        <v xml:space="preserve"> </v>
      </c>
      <c r="K54" s="15">
        <f>IF(B54&lt;=Dane_kredytowe!F$9,0,K53+1)</f>
        <v>0</v>
      </c>
      <c r="L54" s="83">
        <f t="shared" si="1"/>
        <v>1.09E-2</v>
      </c>
      <c r="M54" s="84">
        <f>L54+Dane_kredytowe!F$12</f>
        <v>4.0899999999999999E-2</v>
      </c>
      <c r="N54" s="79">
        <f>MAX(Dane_kredytowe!F$17+SUM(AA$5:AA53)-SUM(X$5:X54)+SUM(W$5:W54),0)</f>
        <v>95134.46</v>
      </c>
      <c r="O54" s="85">
        <f>MAX(Dane_kredytowe!F$8+SUM(V$5:V53)-SUM(S$5:S54)+SUM(R$5:R53),0)</f>
        <v>300000</v>
      </c>
      <c r="P54" s="67">
        <f t="shared" si="59"/>
        <v>360</v>
      </c>
      <c r="Q54" s="127" t="str">
        <f>IF(AND(K54&gt;0,K54&lt;=Dane_kredytowe!F$16),"tak","nie")</f>
        <v>nie</v>
      </c>
      <c r="R54" s="69"/>
      <c r="S54" s="86">
        <f>IF(Dane_kredytowe!F$19=B54,O53+V53,_xlfn.XLOOKUP(B54,Dane_kredytowe!M$9:M$18,Dane_kredytowe!N$9:N$18,0))</f>
        <v>0</v>
      </c>
      <c r="T54" s="71">
        <f t="shared" si="2"/>
        <v>0</v>
      </c>
      <c r="U54" s="72">
        <f>IF(Q54="tak",T54,IF(P54-SUM(AB$5:AB54)+1&gt;0,IF(Dane_kredytowe!F$9&lt;B54,IF(SUM(AB$5:AB54)-Dane_kredytowe!F$16+1&gt;0,PMT(M54/12,P54+1-SUM(AB$5:AB54),O54),T54),0),0))</f>
        <v>0</v>
      </c>
      <c r="V54" s="72">
        <f t="shared" si="32"/>
        <v>0</v>
      </c>
      <c r="W54" s="19" t="str">
        <f t="shared" si="33"/>
        <v xml:space="preserve"> </v>
      </c>
      <c r="X54" s="19">
        <f t="shared" si="3"/>
        <v>0</v>
      </c>
      <c r="Y54" s="73">
        <f t="shared" si="4"/>
        <v>0</v>
      </c>
      <c r="Z54" s="19">
        <f>IF(P54-SUM(AB$5:AB54)+1&gt;0,IF(Dane_kredytowe!F$9&lt;B54,IF(SUM(AB$5:AB54)-Dane_kredytowe!F$16+1&gt;0,PMT(M54/12,P54+1-SUM(AB$5:AB54),N54),Y54),0),0)</f>
        <v>0</v>
      </c>
      <c r="AA54" s="19">
        <f t="shared" si="68"/>
        <v>0</v>
      </c>
      <c r="AB54" s="20" t="str">
        <f>IF(AND(Dane_kredytowe!F$9&lt;B54,SUM(AB$5:AB53)&lt;P53),1," ")</f>
        <v xml:space="preserve"> </v>
      </c>
      <c r="AD54" s="75">
        <f>IF(OR(B54&lt;Dane_kredytowe!F$15,Dane_kredytowe!F$15=""),-F54+S54,0)</f>
        <v>0</v>
      </c>
      <c r="AE54" s="75">
        <f t="shared" si="5"/>
        <v>0</v>
      </c>
      <c r="AG54" s="22">
        <f>Dane_kredytowe!F$17-SUM(AI$5:AI53)+SUM(W$42:W54)-SUM(X$42:X54)</f>
        <v>95134.46</v>
      </c>
      <c r="AH54" s="22">
        <f t="shared" si="6"/>
        <v>0</v>
      </c>
      <c r="AI54" s="22">
        <f t="shared" si="7"/>
        <v>0</v>
      </c>
      <c r="AJ54" s="22">
        <f t="shared" si="61"/>
        <v>0</v>
      </c>
      <c r="AK54" s="22">
        <f t="shared" si="8"/>
        <v>0</v>
      </c>
      <c r="AL54" s="22">
        <f>Dane_kredytowe!F$8-SUM(AN$5:AN53)+SUM(R$42:R53)-SUM(S$42:S54)</f>
        <v>300000</v>
      </c>
      <c r="AM54" s="22">
        <f t="shared" si="9"/>
        <v>0</v>
      </c>
      <c r="AN54" s="22">
        <f t="shared" si="10"/>
        <v>0</v>
      </c>
      <c r="AO54" s="22">
        <f t="shared" si="62"/>
        <v>0</v>
      </c>
      <c r="AP54" s="22">
        <f t="shared" si="63"/>
        <v>0</v>
      </c>
      <c r="AR54" s="87">
        <f t="shared" si="11"/>
        <v>38749</v>
      </c>
      <c r="AS54" s="23">
        <f>AS$5+SUM(AV$5:AV53)-SUM(X$5:X54)+SUM(W$5:W54)</f>
        <v>139056.27143784185</v>
      </c>
      <c r="AT54" s="22">
        <f t="shared" si="12"/>
        <v>0</v>
      </c>
      <c r="AU54" s="22">
        <f>IF(AB54=1,IF(Q54="tak",AT54,PMT(M54/12,P54+1-SUM(AB$5:AB54),AS54)),0)</f>
        <v>0</v>
      </c>
      <c r="AV54" s="22">
        <f t="shared" si="64"/>
        <v>0</v>
      </c>
      <c r="AW54" s="22">
        <f t="shared" si="13"/>
        <v>0</v>
      </c>
      <c r="AY54" s="23">
        <f>AY$5+SUM(BA$5:BA53)+SUM(W$5:W53)-SUM(X$5:X53)</f>
        <v>139056.27143784185</v>
      </c>
      <c r="AZ54" s="23">
        <f t="shared" si="14"/>
        <v>0</v>
      </c>
      <c r="BA54" s="23">
        <f t="shared" si="15"/>
        <v>0</v>
      </c>
      <c r="BB54" s="23">
        <f t="shared" si="65"/>
        <v>0</v>
      </c>
      <c r="BC54" s="23">
        <f t="shared" si="16"/>
        <v>0</v>
      </c>
      <c r="BE54" s="88">
        <f t="shared" si="17"/>
        <v>4.2599999999999999E-2</v>
      </c>
      <c r="BF54" s="89">
        <f>BE54+Dane_kredytowe!F$12</f>
        <v>7.2599999999999998E-2</v>
      </c>
      <c r="BG54" s="23">
        <f>BG$5+SUM(BH$5:BH53)+SUM(R$5:R53)-SUM(S$5:S53)</f>
        <v>300000</v>
      </c>
      <c r="BH54" s="22">
        <f t="shared" si="69"/>
        <v>0</v>
      </c>
      <c r="BI54" s="22">
        <f t="shared" si="67"/>
        <v>0</v>
      </c>
      <c r="BJ54" s="22">
        <f>IF(U54&lt;0,PMT(BF54/12,Dane_kredytowe!F$13-SUM(AB$5:AB54)+1,BG54),0)</f>
        <v>0</v>
      </c>
      <c r="BL54" s="23">
        <f>BL$5+SUM(BN$5:BN53)+SUM(R$5:R53)-SUM(S$5:S53)</f>
        <v>300000</v>
      </c>
      <c r="BM54" s="23">
        <f t="shared" si="18"/>
        <v>0</v>
      </c>
      <c r="BN54" s="23">
        <f t="shared" si="19"/>
        <v>0</v>
      </c>
      <c r="BO54" s="23">
        <f t="shared" si="20"/>
        <v>0</v>
      </c>
      <c r="BQ54" s="89">
        <f t="shared" si="42"/>
        <v>5.9299999999999999E-2</v>
      </c>
      <c r="BR54" s="23">
        <f>BR$5+SUM(BS$5:BS53)+SUM(R$5:R53)-SUM(S$5:S53)+SUM(BV$5:BV53)</f>
        <v>300000</v>
      </c>
      <c r="BS54" s="22">
        <f t="shared" si="49"/>
        <v>0</v>
      </c>
      <c r="BT54" s="22">
        <f t="shared" si="50"/>
        <v>0</v>
      </c>
      <c r="BU54" s="22">
        <f>IF(U54&lt;0,PMT(BQ54/12,Dane_kredytowe!F$13-SUM(AB$5:AB54)+1,BR54),0)</f>
        <v>0</v>
      </c>
      <c r="BV54" s="22">
        <f t="shared" si="43"/>
        <v>0</v>
      </c>
      <c r="BX54" s="23">
        <f>BX$5+SUM(BZ$5:BZ53)+SUM(R$5:R53)-SUM(S$5:S53)+SUM(CB$5,CB53)</f>
        <v>300000</v>
      </c>
      <c r="BY54" s="22">
        <f t="shared" si="21"/>
        <v>0</v>
      </c>
      <c r="BZ54" s="22">
        <f t="shared" si="22"/>
        <v>0</v>
      </c>
      <c r="CA54" s="22">
        <f t="shared" si="51"/>
        <v>0</v>
      </c>
      <c r="CB54" s="22">
        <f t="shared" si="52"/>
        <v>0</v>
      </c>
      <c r="CD54" s="22">
        <f>CD$5+SUM(CE$5:CE53)+SUM(R$5:R53)-SUM(S$5:S53)-SUM(CF$5:CF53)</f>
        <v>300000</v>
      </c>
      <c r="CE54" s="22">
        <f t="shared" si="44"/>
        <v>0</v>
      </c>
      <c r="CF54" s="22">
        <f t="shared" si="23"/>
        <v>0</v>
      </c>
      <c r="CG54" s="22">
        <f t="shared" si="45"/>
        <v>0</v>
      </c>
      <c r="CI54" s="89">
        <f t="shared" si="24"/>
        <v>0.83189999999999997</v>
      </c>
      <c r="CJ54" s="22">
        <f t="shared" si="25"/>
        <v>0</v>
      </c>
      <c r="CK54" s="15">
        <f t="shared" si="46"/>
        <v>0</v>
      </c>
      <c r="CM54" s="22">
        <f t="shared" si="47"/>
        <v>0</v>
      </c>
      <c r="CN54" s="15">
        <f t="shared" si="53"/>
        <v>0</v>
      </c>
    </row>
    <row r="55" spans="1:92">
      <c r="A55" s="25"/>
      <c r="B55" s="80">
        <v>38777</v>
      </c>
      <c r="C55" s="81">
        <f t="shared" si="0"/>
        <v>2.4695999999999998</v>
      </c>
      <c r="D55" s="82">
        <f t="shared" si="48"/>
        <v>2.5436879999999999</v>
      </c>
      <c r="E55" s="73">
        <f t="shared" si="54"/>
        <v>0</v>
      </c>
      <c r="F55" s="19">
        <f t="shared" si="70"/>
        <v>0</v>
      </c>
      <c r="G55" s="19">
        <f t="shared" si="56"/>
        <v>0</v>
      </c>
      <c r="H55" s="19">
        <f t="shared" si="71"/>
        <v>0</v>
      </c>
      <c r="I55" s="62"/>
      <c r="J55" s="15" t="str">
        <f t="shared" si="58"/>
        <v xml:space="preserve"> </v>
      </c>
      <c r="K55" s="15">
        <f>IF(B55&lt;=Dane_kredytowe!F$9,0,K54+1)</f>
        <v>0</v>
      </c>
      <c r="L55" s="83">
        <f t="shared" si="1"/>
        <v>1.21E-2</v>
      </c>
      <c r="M55" s="84">
        <f>L55+Dane_kredytowe!F$12</f>
        <v>4.2099999999999999E-2</v>
      </c>
      <c r="N55" s="79">
        <f>MAX(Dane_kredytowe!F$17+SUM(AA$5:AA54)-SUM(X$5:X55)+SUM(W$5:W55),0)</f>
        <v>95134.46</v>
      </c>
      <c r="O55" s="85">
        <f>MAX(Dane_kredytowe!F$8+SUM(V$5:V54)-SUM(S$5:S55)+SUM(R$5:R54),0)</f>
        <v>300000</v>
      </c>
      <c r="P55" s="67">
        <f t="shared" si="59"/>
        <v>360</v>
      </c>
      <c r="Q55" s="127" t="str">
        <f>IF(AND(K55&gt;0,K55&lt;=Dane_kredytowe!F$16),"tak","nie")</f>
        <v>nie</v>
      </c>
      <c r="R55" s="69"/>
      <c r="S55" s="86">
        <f>IF(Dane_kredytowe!F$19=B55,O54+V54,_xlfn.XLOOKUP(B55,Dane_kredytowe!M$9:M$18,Dane_kredytowe!N$9:N$18,0))</f>
        <v>0</v>
      </c>
      <c r="T55" s="71">
        <f t="shared" si="2"/>
        <v>0</v>
      </c>
      <c r="U55" s="72">
        <f>IF(Q55="tak",T55,IF(P55-SUM(AB$5:AB55)+1&gt;0,IF(Dane_kredytowe!F$9&lt;B55,IF(SUM(AB$5:AB55)-Dane_kredytowe!F$16+1&gt;0,PMT(M55/12,P55+1-SUM(AB$5:AB55),O55),T55),0),0))</f>
        <v>0</v>
      </c>
      <c r="V55" s="72">
        <f t="shared" si="32"/>
        <v>0</v>
      </c>
      <c r="W55" s="19" t="str">
        <f t="shared" si="33"/>
        <v xml:space="preserve"> </v>
      </c>
      <c r="X55" s="19">
        <f t="shared" si="3"/>
        <v>0</v>
      </c>
      <c r="Y55" s="73">
        <f t="shared" si="4"/>
        <v>0</v>
      </c>
      <c r="Z55" s="19">
        <f>IF(P55-SUM(AB$5:AB55)+1&gt;0,IF(Dane_kredytowe!F$9&lt;B55,IF(SUM(AB$5:AB55)-Dane_kredytowe!F$16+1&gt;0,PMT(M55/12,P55+1-SUM(AB$5:AB55),N55),Y55),0),0)</f>
        <v>0</v>
      </c>
      <c r="AA55" s="19">
        <f t="shared" si="68"/>
        <v>0</v>
      </c>
      <c r="AB55" s="20" t="str">
        <f>IF(AND(Dane_kredytowe!F$9&lt;B55,SUM(AB$5:AB54)&lt;P54),1," ")</f>
        <v xml:space="preserve"> </v>
      </c>
      <c r="AD55" s="75">
        <f>IF(OR(B55&lt;Dane_kredytowe!F$15,Dane_kredytowe!F$15=""),-F55+S55,0)</f>
        <v>0</v>
      </c>
      <c r="AE55" s="75">
        <f t="shared" si="5"/>
        <v>0</v>
      </c>
      <c r="AG55" s="22">
        <f>Dane_kredytowe!F$17-SUM(AI$5:AI54)+SUM(W$42:W55)-SUM(X$42:X55)</f>
        <v>95134.46</v>
      </c>
      <c r="AH55" s="22">
        <f t="shared" si="6"/>
        <v>0</v>
      </c>
      <c r="AI55" s="22">
        <f t="shared" si="7"/>
        <v>0</v>
      </c>
      <c r="AJ55" s="22">
        <f t="shared" si="61"/>
        <v>0</v>
      </c>
      <c r="AK55" s="22">
        <f t="shared" si="8"/>
        <v>0</v>
      </c>
      <c r="AL55" s="22">
        <f>Dane_kredytowe!F$8-SUM(AN$5:AN54)+SUM(R$42:R54)-SUM(S$42:S55)</f>
        <v>300000</v>
      </c>
      <c r="AM55" s="22">
        <f t="shared" si="9"/>
        <v>0</v>
      </c>
      <c r="AN55" s="22">
        <f t="shared" si="10"/>
        <v>0</v>
      </c>
      <c r="AO55" s="22">
        <f t="shared" si="62"/>
        <v>0</v>
      </c>
      <c r="AP55" s="22">
        <f t="shared" si="63"/>
        <v>0</v>
      </c>
      <c r="AR55" s="87">
        <f t="shared" si="11"/>
        <v>38777</v>
      </c>
      <c r="AS55" s="23">
        <f>AS$5+SUM(AV$5:AV54)-SUM(X$5:X55)+SUM(W$5:W55)</f>
        <v>139056.27143784185</v>
      </c>
      <c r="AT55" s="22">
        <f t="shared" si="12"/>
        <v>0</v>
      </c>
      <c r="AU55" s="22">
        <f>IF(AB55=1,IF(Q55="tak",AT55,PMT(M55/12,P55+1-SUM(AB$5:AB55),AS55)),0)</f>
        <v>0</v>
      </c>
      <c r="AV55" s="22">
        <f t="shared" si="64"/>
        <v>0</v>
      </c>
      <c r="AW55" s="22">
        <f t="shared" si="13"/>
        <v>0</v>
      </c>
      <c r="AY55" s="23">
        <f>AY$5+SUM(BA$5:BA54)+SUM(W$5:W54)-SUM(X$5:X54)</f>
        <v>139056.27143784185</v>
      </c>
      <c r="AZ55" s="23">
        <f t="shared" si="14"/>
        <v>0</v>
      </c>
      <c r="BA55" s="23">
        <f t="shared" si="15"/>
        <v>0</v>
      </c>
      <c r="BB55" s="23">
        <f t="shared" si="65"/>
        <v>0</v>
      </c>
      <c r="BC55" s="23">
        <f t="shared" si="16"/>
        <v>0</v>
      </c>
      <c r="BE55" s="88">
        <f t="shared" si="17"/>
        <v>4.1200000000000001E-2</v>
      </c>
      <c r="BF55" s="89">
        <f>BE55+Dane_kredytowe!F$12</f>
        <v>7.1199999999999999E-2</v>
      </c>
      <c r="BG55" s="23">
        <f>BG$5+SUM(BH$5:BH54)+SUM(R$5:R54)-SUM(S$5:S54)</f>
        <v>300000</v>
      </c>
      <c r="BH55" s="22">
        <f t="shared" si="69"/>
        <v>0</v>
      </c>
      <c r="BI55" s="22">
        <f t="shared" si="67"/>
        <v>0</v>
      </c>
      <c r="BJ55" s="22">
        <f>IF(U55&lt;0,PMT(BF55/12,Dane_kredytowe!F$13-SUM(AB$5:AB55)+1,BG55),0)</f>
        <v>0</v>
      </c>
      <c r="BL55" s="23">
        <f>BL$5+SUM(BN$5:BN54)+SUM(R$5:R54)-SUM(S$5:S54)</f>
        <v>300000</v>
      </c>
      <c r="BM55" s="23">
        <f t="shared" si="18"/>
        <v>0</v>
      </c>
      <c r="BN55" s="23">
        <f t="shared" si="19"/>
        <v>0</v>
      </c>
      <c r="BO55" s="23">
        <f t="shared" si="20"/>
        <v>0</v>
      </c>
      <c r="BQ55" s="89">
        <f t="shared" si="42"/>
        <v>5.79E-2</v>
      </c>
      <c r="BR55" s="23">
        <f>BR$5+SUM(BS$5:BS54)+SUM(R$5:R54)-SUM(S$5:S54)+SUM(BV$5:BV54)</f>
        <v>300000</v>
      </c>
      <c r="BS55" s="22">
        <f t="shared" si="49"/>
        <v>0</v>
      </c>
      <c r="BT55" s="22">
        <f t="shared" si="50"/>
        <v>0</v>
      </c>
      <c r="BU55" s="22">
        <f>IF(U55&lt;0,PMT(BQ55/12,Dane_kredytowe!F$13-SUM(AB$5:AB55)+1,BR55),0)</f>
        <v>0</v>
      </c>
      <c r="BV55" s="22">
        <f t="shared" si="43"/>
        <v>0</v>
      </c>
      <c r="BX55" s="23">
        <f>BX$5+SUM(BZ$5:BZ54)+SUM(R$5:R54)-SUM(S$5:S54)+SUM(CB$5,CB54)</f>
        <v>300000</v>
      </c>
      <c r="BY55" s="22">
        <f t="shared" si="21"/>
        <v>0</v>
      </c>
      <c r="BZ55" s="22">
        <f t="shared" si="22"/>
        <v>0</v>
      </c>
      <c r="CA55" s="22">
        <f t="shared" si="51"/>
        <v>0</v>
      </c>
      <c r="CB55" s="22">
        <f t="shared" si="52"/>
        <v>0</v>
      </c>
      <c r="CD55" s="22">
        <f>CD$5+SUM(CE$5:CE54)+SUM(R$5:R54)-SUM(S$5:S54)-SUM(CF$5:CF54)</f>
        <v>300000</v>
      </c>
      <c r="CE55" s="22">
        <f t="shared" si="44"/>
        <v>0</v>
      </c>
      <c r="CF55" s="22">
        <f t="shared" si="23"/>
        <v>0</v>
      </c>
      <c r="CG55" s="22">
        <f t="shared" si="45"/>
        <v>0</v>
      </c>
      <c r="CI55" s="89">
        <f t="shared" si="24"/>
        <v>0.8337</v>
      </c>
      <c r="CJ55" s="22">
        <f t="shared" si="25"/>
        <v>0</v>
      </c>
      <c r="CK55" s="15">
        <f t="shared" si="46"/>
        <v>0</v>
      </c>
      <c r="CM55" s="22">
        <f t="shared" si="47"/>
        <v>0</v>
      </c>
      <c r="CN55" s="15">
        <f t="shared" si="53"/>
        <v>0</v>
      </c>
    </row>
    <row r="56" spans="1:92">
      <c r="A56" s="25"/>
      <c r="B56" s="80">
        <v>38808</v>
      </c>
      <c r="C56" s="81">
        <f t="shared" si="0"/>
        <v>2.4885999999999999</v>
      </c>
      <c r="D56" s="82">
        <f t="shared" si="48"/>
        <v>2.5632579999999998</v>
      </c>
      <c r="E56" s="73">
        <f t="shared" si="54"/>
        <v>0</v>
      </c>
      <c r="F56" s="19">
        <f t="shared" si="70"/>
        <v>0</v>
      </c>
      <c r="G56" s="19">
        <f t="shared" si="56"/>
        <v>0</v>
      </c>
      <c r="H56" s="19">
        <f t="shared" si="71"/>
        <v>0</v>
      </c>
      <c r="I56" s="62"/>
      <c r="J56" s="15" t="str">
        <f t="shared" si="58"/>
        <v xml:space="preserve"> </v>
      </c>
      <c r="K56" s="15">
        <f>IF(B56&lt;=Dane_kredytowe!F$9,0,K55+1)</f>
        <v>0</v>
      </c>
      <c r="L56" s="83">
        <f t="shared" si="1"/>
        <v>1.2800000000000001E-2</v>
      </c>
      <c r="M56" s="84">
        <f>L56+Dane_kredytowe!F$12</f>
        <v>4.2799999999999998E-2</v>
      </c>
      <c r="N56" s="79">
        <f>MAX(Dane_kredytowe!F$17+SUM(AA$5:AA55)-SUM(X$5:X56)+SUM(W$5:W56),0)</f>
        <v>95134.46</v>
      </c>
      <c r="O56" s="85">
        <f>MAX(Dane_kredytowe!F$8+SUM(V$5:V55)-SUM(S$5:S56)+SUM(R$5:R55),0)</f>
        <v>300000</v>
      </c>
      <c r="P56" s="67">
        <f t="shared" si="59"/>
        <v>360</v>
      </c>
      <c r="Q56" s="127" t="str">
        <f>IF(AND(K56&gt;0,K56&lt;=Dane_kredytowe!F$16),"tak","nie")</f>
        <v>nie</v>
      </c>
      <c r="R56" s="69"/>
      <c r="S56" s="86">
        <f>IF(Dane_kredytowe!F$19=B56,O55+V55,_xlfn.XLOOKUP(B56,Dane_kredytowe!M$9:M$18,Dane_kredytowe!N$9:N$18,0))</f>
        <v>0</v>
      </c>
      <c r="T56" s="71">
        <f t="shared" si="2"/>
        <v>0</v>
      </c>
      <c r="U56" s="72">
        <f>IF(Q56="tak",T56,IF(P56-SUM(AB$5:AB56)+1&gt;0,IF(Dane_kredytowe!F$9&lt;B56,IF(SUM(AB$5:AB56)-Dane_kredytowe!F$16+1&gt;0,PMT(M56/12,P56+1-SUM(AB$5:AB56),O56),T56),0),0))</f>
        <v>0</v>
      </c>
      <c r="V56" s="72">
        <f t="shared" si="32"/>
        <v>0</v>
      </c>
      <c r="W56" s="19" t="str">
        <f t="shared" si="33"/>
        <v xml:space="preserve"> </v>
      </c>
      <c r="X56" s="19">
        <f t="shared" si="3"/>
        <v>0</v>
      </c>
      <c r="Y56" s="73">
        <f t="shared" si="4"/>
        <v>0</v>
      </c>
      <c r="Z56" s="19">
        <f>IF(P56-SUM(AB$5:AB56)+1&gt;0,IF(Dane_kredytowe!F$9&lt;B56,IF(SUM(AB$5:AB56)-Dane_kredytowe!F$16+1&gt;0,PMT(M56/12,P56+1-SUM(AB$5:AB56),N56),Y56),0),0)</f>
        <v>0</v>
      </c>
      <c r="AA56" s="19">
        <f t="shared" si="68"/>
        <v>0</v>
      </c>
      <c r="AB56" s="20" t="str">
        <f>IF(AND(Dane_kredytowe!F$9&lt;B56,SUM(AB$5:AB55)&lt;P55),1," ")</f>
        <v xml:space="preserve"> </v>
      </c>
      <c r="AD56" s="75">
        <f>IF(OR(B56&lt;Dane_kredytowe!F$15,Dane_kredytowe!F$15=""),-F56+S56,0)</f>
        <v>0</v>
      </c>
      <c r="AE56" s="75">
        <f t="shared" si="5"/>
        <v>0</v>
      </c>
      <c r="AG56" s="22">
        <f>Dane_kredytowe!F$17-SUM(AI$5:AI55)+SUM(W$42:W56)-SUM(X$42:X56)</f>
        <v>95134.46</v>
      </c>
      <c r="AH56" s="22">
        <f t="shared" si="6"/>
        <v>0</v>
      </c>
      <c r="AI56" s="22">
        <f t="shared" si="7"/>
        <v>0</v>
      </c>
      <c r="AJ56" s="22">
        <f t="shared" si="61"/>
        <v>0</v>
      </c>
      <c r="AK56" s="22">
        <f t="shared" si="8"/>
        <v>0</v>
      </c>
      <c r="AL56" s="22">
        <f>Dane_kredytowe!F$8-SUM(AN$5:AN55)+SUM(R$42:R55)-SUM(S$42:S56)</f>
        <v>300000</v>
      </c>
      <c r="AM56" s="22">
        <f t="shared" si="9"/>
        <v>0</v>
      </c>
      <c r="AN56" s="22">
        <f t="shared" si="10"/>
        <v>0</v>
      </c>
      <c r="AO56" s="22">
        <f t="shared" si="62"/>
        <v>0</v>
      </c>
      <c r="AP56" s="22">
        <f t="shared" si="63"/>
        <v>0</v>
      </c>
      <c r="AR56" s="87">
        <f t="shared" si="11"/>
        <v>38808</v>
      </c>
      <c r="AS56" s="23">
        <f>AS$5+SUM(AV$5:AV55)-SUM(X$5:X56)+SUM(W$5:W56)</f>
        <v>139056.27143784185</v>
      </c>
      <c r="AT56" s="22">
        <f t="shared" si="12"/>
        <v>0</v>
      </c>
      <c r="AU56" s="22">
        <f>IF(AB56=1,IF(Q56="tak",AT56,PMT(M56/12,P56+1-SUM(AB$5:AB56),AS56)),0)</f>
        <v>0</v>
      </c>
      <c r="AV56" s="22">
        <f t="shared" si="64"/>
        <v>0</v>
      </c>
      <c r="AW56" s="22">
        <f t="shared" si="13"/>
        <v>0</v>
      </c>
      <c r="AY56" s="23">
        <f>AY$5+SUM(BA$5:BA55)+SUM(W$5:W55)-SUM(X$5:X55)</f>
        <v>139056.27143784185</v>
      </c>
      <c r="AZ56" s="23">
        <f t="shared" si="14"/>
        <v>0</v>
      </c>
      <c r="BA56" s="23">
        <f t="shared" si="15"/>
        <v>0</v>
      </c>
      <c r="BB56" s="23">
        <f t="shared" si="65"/>
        <v>0</v>
      </c>
      <c r="BC56" s="23">
        <f t="shared" si="16"/>
        <v>0</v>
      </c>
      <c r="BE56" s="88">
        <f t="shared" si="17"/>
        <v>4.1399999999999999E-2</v>
      </c>
      <c r="BF56" s="89">
        <f>BE56+Dane_kredytowe!F$12</f>
        <v>7.1399999999999991E-2</v>
      </c>
      <c r="BG56" s="23">
        <f>BG$5+SUM(BH$5:BH55)+SUM(R$5:R55)-SUM(S$5:S55)</f>
        <v>300000</v>
      </c>
      <c r="BH56" s="22">
        <f t="shared" si="69"/>
        <v>0</v>
      </c>
      <c r="BI56" s="22">
        <f t="shared" si="67"/>
        <v>0</v>
      </c>
      <c r="BJ56" s="22">
        <f>IF(U56&lt;0,PMT(BF56/12,Dane_kredytowe!F$13-SUM(AB$5:AB56)+1,BG56),0)</f>
        <v>0</v>
      </c>
      <c r="BL56" s="23">
        <f>BL$5+SUM(BN$5:BN55)+SUM(R$5:R55)-SUM(S$5:S55)</f>
        <v>300000</v>
      </c>
      <c r="BM56" s="23">
        <f t="shared" si="18"/>
        <v>0</v>
      </c>
      <c r="BN56" s="23">
        <f t="shared" si="19"/>
        <v>0</v>
      </c>
      <c r="BO56" s="23">
        <f t="shared" si="20"/>
        <v>0</v>
      </c>
      <c r="BQ56" s="89">
        <f t="shared" si="42"/>
        <v>5.8099999999999999E-2</v>
      </c>
      <c r="BR56" s="23">
        <f>BR$5+SUM(BS$5:BS55)+SUM(R$5:R55)-SUM(S$5:S55)+SUM(BV$5:BV55)</f>
        <v>300000</v>
      </c>
      <c r="BS56" s="22">
        <f t="shared" si="49"/>
        <v>0</v>
      </c>
      <c r="BT56" s="22">
        <f t="shared" si="50"/>
        <v>0</v>
      </c>
      <c r="BU56" s="22">
        <f>IF(U56&lt;0,PMT(BQ56/12,Dane_kredytowe!F$13-SUM(AB$5:AB56)+1,BR56),0)</f>
        <v>0</v>
      </c>
      <c r="BV56" s="22">
        <f t="shared" si="43"/>
        <v>0</v>
      </c>
      <c r="BX56" s="23">
        <f>BX$5+SUM(BZ$5:BZ55)+SUM(R$5:R55)-SUM(S$5:S55)+SUM(CB$5,CB55)</f>
        <v>300000</v>
      </c>
      <c r="BY56" s="22">
        <f t="shared" si="21"/>
        <v>0</v>
      </c>
      <c r="BZ56" s="22">
        <f t="shared" si="22"/>
        <v>0</v>
      </c>
      <c r="CA56" s="22">
        <f t="shared" si="51"/>
        <v>0</v>
      </c>
      <c r="CB56" s="22">
        <f t="shared" si="52"/>
        <v>0</v>
      </c>
      <c r="CD56" s="22">
        <f>CD$5+SUM(CE$5:CE55)+SUM(R$5:R55)-SUM(S$5:S55)-SUM(CF$5:CF55)</f>
        <v>300000</v>
      </c>
      <c r="CE56" s="22">
        <f t="shared" si="44"/>
        <v>0</v>
      </c>
      <c r="CF56" s="22">
        <f t="shared" si="23"/>
        <v>0</v>
      </c>
      <c r="CG56" s="22">
        <f t="shared" si="45"/>
        <v>0</v>
      </c>
      <c r="CI56" s="89">
        <f t="shared" si="24"/>
        <v>0.82099999999999995</v>
      </c>
      <c r="CJ56" s="22">
        <f t="shared" si="25"/>
        <v>0</v>
      </c>
      <c r="CK56" s="15">
        <f t="shared" si="46"/>
        <v>0</v>
      </c>
      <c r="CM56" s="22">
        <f t="shared" si="47"/>
        <v>0</v>
      </c>
      <c r="CN56" s="15">
        <f t="shared" si="53"/>
        <v>0</v>
      </c>
    </row>
    <row r="57" spans="1:92">
      <c r="A57" s="25"/>
      <c r="B57" s="80">
        <v>38838</v>
      </c>
      <c r="C57" s="81">
        <f t="shared" si="0"/>
        <v>2.5009999999999999</v>
      </c>
      <c r="D57" s="82">
        <f t="shared" si="48"/>
        <v>2.5760299999999998</v>
      </c>
      <c r="E57" s="73">
        <f t="shared" si="54"/>
        <v>0</v>
      </c>
      <c r="F57" s="19">
        <f t="shared" si="70"/>
        <v>0</v>
      </c>
      <c r="G57" s="19">
        <f t="shared" si="56"/>
        <v>0</v>
      </c>
      <c r="H57" s="19">
        <f t="shared" si="71"/>
        <v>0</v>
      </c>
      <c r="I57" s="62"/>
      <c r="J57" s="15" t="str">
        <f t="shared" si="58"/>
        <v xml:space="preserve"> </v>
      </c>
      <c r="K57" s="15">
        <f>IF(B57&lt;=Dane_kredytowe!F$9,0,K56+1)</f>
        <v>0</v>
      </c>
      <c r="L57" s="83">
        <f t="shared" si="1"/>
        <v>1.41E-2</v>
      </c>
      <c r="M57" s="84">
        <f>L57+Dane_kredytowe!F$12</f>
        <v>4.41E-2</v>
      </c>
      <c r="N57" s="79">
        <f>MAX(Dane_kredytowe!F$17+SUM(AA$5:AA56)-SUM(X$5:X57)+SUM(W$5:W57),0)</f>
        <v>95134.46</v>
      </c>
      <c r="O57" s="85">
        <f>MAX(Dane_kredytowe!F$8+SUM(V$5:V56)-SUM(S$5:S57)+SUM(R$5:R56),0)</f>
        <v>300000</v>
      </c>
      <c r="P57" s="67">
        <f t="shared" si="59"/>
        <v>360</v>
      </c>
      <c r="Q57" s="127" t="str">
        <f>IF(AND(K57&gt;0,K57&lt;=Dane_kredytowe!F$16),"tak","nie")</f>
        <v>nie</v>
      </c>
      <c r="R57" s="69"/>
      <c r="S57" s="86">
        <f>IF(Dane_kredytowe!F$19=B57,O56+V56,_xlfn.XLOOKUP(B57,Dane_kredytowe!M$9:M$18,Dane_kredytowe!N$9:N$18,0))</f>
        <v>0</v>
      </c>
      <c r="T57" s="71">
        <f t="shared" si="2"/>
        <v>0</v>
      </c>
      <c r="U57" s="72">
        <f>IF(Q57="tak",T57,IF(P57-SUM(AB$5:AB57)+1&gt;0,IF(Dane_kredytowe!F$9&lt;B57,IF(SUM(AB$5:AB57)-Dane_kredytowe!F$16+1&gt;0,PMT(M57/12,P57+1-SUM(AB$5:AB57),O57),T57),0),0))</f>
        <v>0</v>
      </c>
      <c r="V57" s="72">
        <f t="shared" si="32"/>
        <v>0</v>
      </c>
      <c r="W57" s="19" t="str">
        <f t="shared" si="33"/>
        <v xml:space="preserve"> </v>
      </c>
      <c r="X57" s="19">
        <f t="shared" si="3"/>
        <v>0</v>
      </c>
      <c r="Y57" s="73">
        <f t="shared" si="4"/>
        <v>0</v>
      </c>
      <c r="Z57" s="19">
        <f>IF(P57-SUM(AB$5:AB57)+1&gt;0,IF(Dane_kredytowe!F$9&lt;B57,IF(SUM(AB$5:AB57)-Dane_kredytowe!F$16+1&gt;0,PMT(M57/12,P57+1-SUM(AB$5:AB57),N57),Y57),0),0)</f>
        <v>0</v>
      </c>
      <c r="AA57" s="19">
        <f t="shared" si="68"/>
        <v>0</v>
      </c>
      <c r="AB57" s="20" t="str">
        <f>IF(AND(Dane_kredytowe!F$9&lt;B57,SUM(AB$5:AB56)&lt;P56),1," ")</f>
        <v xml:space="preserve"> </v>
      </c>
      <c r="AD57" s="75">
        <f>IF(OR(B57&lt;Dane_kredytowe!F$15,Dane_kredytowe!F$15=""),-F57+S57,0)</f>
        <v>0</v>
      </c>
      <c r="AE57" s="75">
        <f t="shared" si="5"/>
        <v>0</v>
      </c>
      <c r="AG57" s="22">
        <f>Dane_kredytowe!F$17-SUM(AI$5:AI56)+SUM(W$42:W57)-SUM(X$42:X57)</f>
        <v>95134.46</v>
      </c>
      <c r="AH57" s="22">
        <f t="shared" si="6"/>
        <v>0</v>
      </c>
      <c r="AI57" s="22">
        <f t="shared" si="7"/>
        <v>0</v>
      </c>
      <c r="AJ57" s="22">
        <f t="shared" si="61"/>
        <v>0</v>
      </c>
      <c r="AK57" s="22">
        <f t="shared" si="8"/>
        <v>0</v>
      </c>
      <c r="AL57" s="22">
        <f>Dane_kredytowe!F$8-SUM(AN$5:AN56)+SUM(R$42:R56)-SUM(S$42:S57)</f>
        <v>300000</v>
      </c>
      <c r="AM57" s="22">
        <f t="shared" si="9"/>
        <v>0</v>
      </c>
      <c r="AN57" s="22">
        <f t="shared" si="10"/>
        <v>0</v>
      </c>
      <c r="AO57" s="22">
        <f t="shared" si="62"/>
        <v>0</v>
      </c>
      <c r="AP57" s="22">
        <f t="shared" si="63"/>
        <v>0</v>
      </c>
      <c r="AR57" s="87">
        <f t="shared" si="11"/>
        <v>38838</v>
      </c>
      <c r="AS57" s="23">
        <f>AS$5+SUM(AV$5:AV56)-SUM(X$5:X57)+SUM(W$5:W57)</f>
        <v>139056.27143784185</v>
      </c>
      <c r="AT57" s="22">
        <f t="shared" si="12"/>
        <v>0</v>
      </c>
      <c r="AU57" s="22">
        <f>IF(AB57=1,IF(Q57="tak",AT57,PMT(M57/12,P57+1-SUM(AB$5:AB57),AS57)),0)</f>
        <v>0</v>
      </c>
      <c r="AV57" s="22">
        <f t="shared" si="64"/>
        <v>0</v>
      </c>
      <c r="AW57" s="22">
        <f t="shared" si="13"/>
        <v>0</v>
      </c>
      <c r="AY57" s="23">
        <f>AY$5+SUM(BA$5:BA56)+SUM(W$5:W56)-SUM(X$5:X56)</f>
        <v>139056.27143784185</v>
      </c>
      <c r="AZ57" s="23">
        <f t="shared" si="14"/>
        <v>0</v>
      </c>
      <c r="BA57" s="23">
        <f t="shared" si="15"/>
        <v>0</v>
      </c>
      <c r="BB57" s="23">
        <f t="shared" si="65"/>
        <v>0</v>
      </c>
      <c r="BC57" s="23">
        <f t="shared" si="16"/>
        <v>0</v>
      </c>
      <c r="BE57" s="88">
        <f t="shared" si="17"/>
        <v>4.1500000000000002E-2</v>
      </c>
      <c r="BF57" s="89">
        <f>BE57+Dane_kredytowe!F$12</f>
        <v>7.1500000000000008E-2</v>
      </c>
      <c r="BG57" s="23">
        <f>BG$5+SUM(BH$5:BH56)+SUM(R$5:R56)-SUM(S$5:S56)</f>
        <v>300000</v>
      </c>
      <c r="BH57" s="22">
        <f t="shared" si="69"/>
        <v>0</v>
      </c>
      <c r="BI57" s="22">
        <f t="shared" si="67"/>
        <v>0</v>
      </c>
      <c r="BJ57" s="22">
        <f>IF(U57&lt;0,PMT(BF57/12,Dane_kredytowe!F$13-SUM(AB$5:AB57)+1,BG57),0)</f>
        <v>0</v>
      </c>
      <c r="BL57" s="23">
        <f>BL$5+SUM(BN$5:BN56)+SUM(R$5:R56)-SUM(S$5:S56)</f>
        <v>300000</v>
      </c>
      <c r="BM57" s="23">
        <f t="shared" si="18"/>
        <v>0</v>
      </c>
      <c r="BN57" s="23">
        <f t="shared" si="19"/>
        <v>0</v>
      </c>
      <c r="BO57" s="23">
        <f t="shared" si="20"/>
        <v>0</v>
      </c>
      <c r="BQ57" s="89">
        <f t="shared" si="42"/>
        <v>5.8200000000000002E-2</v>
      </c>
      <c r="BR57" s="23">
        <f>BR$5+SUM(BS$5:BS56)+SUM(R$5:R56)-SUM(S$5:S56)+SUM(BV$5:BV56)</f>
        <v>300000</v>
      </c>
      <c r="BS57" s="22">
        <f t="shared" si="49"/>
        <v>0</v>
      </c>
      <c r="BT57" s="22">
        <f t="shared" si="50"/>
        <v>0</v>
      </c>
      <c r="BU57" s="22">
        <f>IF(U57&lt;0,PMT(BQ57/12,Dane_kredytowe!F$13-SUM(AB$5:AB57)+1,BR57),0)</f>
        <v>0</v>
      </c>
      <c r="BV57" s="22">
        <f t="shared" si="43"/>
        <v>0</v>
      </c>
      <c r="BX57" s="23">
        <f>BX$5+SUM(BZ$5:BZ56)+SUM(R$5:R56)-SUM(S$5:S56)+SUM(CB$5,CB56)</f>
        <v>300000</v>
      </c>
      <c r="BY57" s="22">
        <f t="shared" si="21"/>
        <v>0</v>
      </c>
      <c r="BZ57" s="22">
        <f t="shared" si="22"/>
        <v>0</v>
      </c>
      <c r="CA57" s="22">
        <f t="shared" si="51"/>
        <v>0</v>
      </c>
      <c r="CB57" s="22">
        <f t="shared" si="52"/>
        <v>0</v>
      </c>
      <c r="CD57" s="22">
        <f>CD$5+SUM(CE$5:CE56)+SUM(R$5:R56)-SUM(S$5:S56)-SUM(CF$5:CF56)</f>
        <v>300000</v>
      </c>
      <c r="CE57" s="22">
        <f t="shared" si="44"/>
        <v>0</v>
      </c>
      <c r="CF57" s="22">
        <f t="shared" si="23"/>
        <v>0</v>
      </c>
      <c r="CG57" s="22">
        <f t="shared" si="45"/>
        <v>0</v>
      </c>
      <c r="CI57" s="89">
        <f t="shared" si="24"/>
        <v>0.81189999999999996</v>
      </c>
      <c r="CJ57" s="22">
        <f t="shared" si="25"/>
        <v>0</v>
      </c>
      <c r="CK57" s="15">
        <f t="shared" si="46"/>
        <v>0</v>
      </c>
      <c r="CM57" s="22">
        <f t="shared" si="47"/>
        <v>0</v>
      </c>
      <c r="CN57" s="15">
        <f t="shared" si="53"/>
        <v>0</v>
      </c>
    </row>
    <row r="58" spans="1:92">
      <c r="A58" s="25"/>
      <c r="B58" s="80">
        <v>38869</v>
      </c>
      <c r="C58" s="81">
        <f t="shared" si="0"/>
        <v>2.5741999999999998</v>
      </c>
      <c r="D58" s="82">
        <f t="shared" si="48"/>
        <v>2.6514259999999998</v>
      </c>
      <c r="E58" s="73">
        <f t="shared" si="54"/>
        <v>0</v>
      </c>
      <c r="F58" s="19">
        <f t="shared" si="70"/>
        <v>0</v>
      </c>
      <c r="G58" s="19">
        <f t="shared" si="56"/>
        <v>0</v>
      </c>
      <c r="H58" s="19">
        <f t="shared" si="71"/>
        <v>0</v>
      </c>
      <c r="I58" s="62"/>
      <c r="J58" s="15" t="str">
        <f t="shared" si="58"/>
        <v xml:space="preserve"> </v>
      </c>
      <c r="K58" s="15">
        <f>IF(B58&lt;=Dane_kredytowe!F$9,0,K57+1)</f>
        <v>0</v>
      </c>
      <c r="L58" s="83">
        <f t="shared" si="1"/>
        <v>1.4800000000000001E-2</v>
      </c>
      <c r="M58" s="84">
        <f>L58+Dane_kredytowe!F$12</f>
        <v>4.48E-2</v>
      </c>
      <c r="N58" s="79">
        <f>MAX(Dane_kredytowe!F$17+SUM(AA$5:AA57)-SUM(X$5:X58)+SUM(W$5:W58),0)</f>
        <v>95134.46</v>
      </c>
      <c r="O58" s="85">
        <f>MAX(Dane_kredytowe!F$8+SUM(V$5:V57)-SUM(S$5:S58)+SUM(R$5:R57),0)</f>
        <v>300000</v>
      </c>
      <c r="P58" s="67">
        <f t="shared" si="59"/>
        <v>360</v>
      </c>
      <c r="Q58" s="127" t="str">
        <f>IF(AND(K58&gt;0,K58&lt;=Dane_kredytowe!F$16),"tak","nie")</f>
        <v>nie</v>
      </c>
      <c r="R58" s="69"/>
      <c r="S58" s="86">
        <f>IF(Dane_kredytowe!F$19=B58,O57+V57,_xlfn.XLOOKUP(B58,Dane_kredytowe!M$9:M$18,Dane_kredytowe!N$9:N$18,0))</f>
        <v>0</v>
      </c>
      <c r="T58" s="71">
        <f t="shared" si="2"/>
        <v>0</v>
      </c>
      <c r="U58" s="72">
        <f>IF(Q58="tak",T58,IF(P58-SUM(AB$5:AB58)+1&gt;0,IF(Dane_kredytowe!F$9&lt;B58,IF(SUM(AB$5:AB58)-Dane_kredytowe!F$16+1&gt;0,PMT(M58/12,P58+1-SUM(AB$5:AB58),O58),T58),0),0))</f>
        <v>0</v>
      </c>
      <c r="V58" s="72">
        <f t="shared" si="32"/>
        <v>0</v>
      </c>
      <c r="W58" s="19" t="str">
        <f t="shared" si="33"/>
        <v xml:space="preserve"> </v>
      </c>
      <c r="X58" s="19">
        <f t="shared" si="3"/>
        <v>0</v>
      </c>
      <c r="Y58" s="73">
        <f t="shared" si="4"/>
        <v>0</v>
      </c>
      <c r="Z58" s="19">
        <f>IF(P58-SUM(AB$5:AB58)+1&gt;0,IF(Dane_kredytowe!F$9&lt;B58,IF(SUM(AB$5:AB58)-Dane_kredytowe!F$16+1&gt;0,PMT(M58/12,P58+1-SUM(AB$5:AB58),N58),Y58),0),0)</f>
        <v>0</v>
      </c>
      <c r="AA58" s="19">
        <f t="shared" si="68"/>
        <v>0</v>
      </c>
      <c r="AB58" s="20" t="str">
        <f>IF(AND(Dane_kredytowe!F$9&lt;B58,SUM(AB$5:AB57)&lt;P57),1," ")</f>
        <v xml:space="preserve"> </v>
      </c>
      <c r="AD58" s="75">
        <f>IF(OR(B58&lt;Dane_kredytowe!F$15,Dane_kredytowe!F$15=""),-F58+S58,0)</f>
        <v>0</v>
      </c>
      <c r="AE58" s="75">
        <f t="shared" si="5"/>
        <v>0</v>
      </c>
      <c r="AG58" s="22">
        <f>Dane_kredytowe!F$17-SUM(AI$5:AI57)+SUM(W$42:W58)-SUM(X$42:X58)</f>
        <v>95134.46</v>
      </c>
      <c r="AH58" s="22">
        <f t="shared" si="6"/>
        <v>0</v>
      </c>
      <c r="AI58" s="22">
        <f t="shared" si="7"/>
        <v>0</v>
      </c>
      <c r="AJ58" s="22">
        <f t="shared" si="61"/>
        <v>0</v>
      </c>
      <c r="AK58" s="22">
        <f t="shared" si="8"/>
        <v>0</v>
      </c>
      <c r="AL58" s="22">
        <f>Dane_kredytowe!F$8-SUM(AN$5:AN57)+SUM(R$42:R57)-SUM(S$42:S58)</f>
        <v>300000</v>
      </c>
      <c r="AM58" s="22">
        <f t="shared" si="9"/>
        <v>0</v>
      </c>
      <c r="AN58" s="22">
        <f t="shared" si="10"/>
        <v>0</v>
      </c>
      <c r="AO58" s="22">
        <f t="shared" si="62"/>
        <v>0</v>
      </c>
      <c r="AP58" s="22">
        <f t="shared" si="63"/>
        <v>0</v>
      </c>
      <c r="AR58" s="87">
        <f t="shared" si="11"/>
        <v>38869</v>
      </c>
      <c r="AS58" s="23">
        <f>AS$5+SUM(AV$5:AV57)-SUM(X$5:X58)+SUM(W$5:W58)</f>
        <v>139056.27143784185</v>
      </c>
      <c r="AT58" s="22">
        <f t="shared" si="12"/>
        <v>0</v>
      </c>
      <c r="AU58" s="22">
        <f>IF(AB58=1,IF(Q58="tak",AT58,PMT(M58/12,P58+1-SUM(AB$5:AB58),AS58)),0)</f>
        <v>0</v>
      </c>
      <c r="AV58" s="22">
        <f t="shared" si="64"/>
        <v>0</v>
      </c>
      <c r="AW58" s="22">
        <f t="shared" si="13"/>
        <v>0</v>
      </c>
      <c r="AY58" s="23">
        <f>AY$5+SUM(BA$5:BA57)+SUM(W$5:W57)-SUM(X$5:X57)</f>
        <v>139056.27143784185</v>
      </c>
      <c r="AZ58" s="23">
        <f t="shared" si="14"/>
        <v>0</v>
      </c>
      <c r="BA58" s="23">
        <f t="shared" si="15"/>
        <v>0</v>
      </c>
      <c r="BB58" s="23">
        <f t="shared" si="65"/>
        <v>0</v>
      </c>
      <c r="BC58" s="23">
        <f t="shared" si="16"/>
        <v>0</v>
      </c>
      <c r="BE58" s="88">
        <f t="shared" si="17"/>
        <v>4.1700000000000001E-2</v>
      </c>
      <c r="BF58" s="89">
        <f>BE58+Dane_kredytowe!F$12</f>
        <v>7.17E-2</v>
      </c>
      <c r="BG58" s="23">
        <f>BG$5+SUM(BH$5:BH57)+SUM(R$5:R57)-SUM(S$5:S57)</f>
        <v>300000</v>
      </c>
      <c r="BH58" s="22">
        <f t="shared" si="69"/>
        <v>0</v>
      </c>
      <c r="BI58" s="22">
        <f t="shared" si="67"/>
        <v>0</v>
      </c>
      <c r="BJ58" s="22">
        <f>IF(U58&lt;0,PMT(BF58/12,Dane_kredytowe!F$13-SUM(AB$5:AB58)+1,BG58),0)</f>
        <v>0</v>
      </c>
      <c r="BL58" s="23">
        <f>BL$5+SUM(BN$5:BN57)+SUM(R$5:R57)-SUM(S$5:S57)</f>
        <v>300000</v>
      </c>
      <c r="BM58" s="23">
        <f t="shared" si="18"/>
        <v>0</v>
      </c>
      <c r="BN58" s="23">
        <f t="shared" si="19"/>
        <v>0</v>
      </c>
      <c r="BO58" s="23">
        <f t="shared" si="20"/>
        <v>0</v>
      </c>
      <c r="BQ58" s="89">
        <f t="shared" si="42"/>
        <v>5.8400000000000001E-2</v>
      </c>
      <c r="BR58" s="23">
        <f>BR$5+SUM(BS$5:BS57)+SUM(R$5:R57)-SUM(S$5:S57)+SUM(BV$5:BV57)</f>
        <v>300000</v>
      </c>
      <c r="BS58" s="22">
        <f t="shared" si="49"/>
        <v>0</v>
      </c>
      <c r="BT58" s="22">
        <f t="shared" si="50"/>
        <v>0</v>
      </c>
      <c r="BU58" s="22">
        <f>IF(U58&lt;0,PMT(BQ58/12,Dane_kredytowe!F$13-SUM(AB$5:AB58)+1,BR58),0)</f>
        <v>0</v>
      </c>
      <c r="BV58" s="22">
        <f t="shared" si="43"/>
        <v>0</v>
      </c>
      <c r="BX58" s="23">
        <f>BX$5+SUM(BZ$5:BZ57)+SUM(R$5:R57)-SUM(S$5:S57)+SUM(CB$5,CB57)</f>
        <v>300000</v>
      </c>
      <c r="BY58" s="22">
        <f t="shared" si="21"/>
        <v>0</v>
      </c>
      <c r="BZ58" s="22">
        <f t="shared" si="22"/>
        <v>0</v>
      </c>
      <c r="CA58" s="22">
        <f t="shared" si="51"/>
        <v>0</v>
      </c>
      <c r="CB58" s="22">
        <f t="shared" si="52"/>
        <v>0</v>
      </c>
      <c r="CD58" s="22">
        <f>CD$5+SUM(CE$5:CE57)+SUM(R$5:R57)-SUM(S$5:S57)-SUM(CF$5:CF57)</f>
        <v>300000</v>
      </c>
      <c r="CE58" s="22">
        <f t="shared" si="44"/>
        <v>0</v>
      </c>
      <c r="CF58" s="22">
        <f t="shared" si="23"/>
        <v>0</v>
      </c>
      <c r="CG58" s="22">
        <f t="shared" si="45"/>
        <v>0</v>
      </c>
      <c r="CI58" s="89">
        <f t="shared" si="24"/>
        <v>0.81740000000000002</v>
      </c>
      <c r="CJ58" s="22">
        <f t="shared" si="25"/>
        <v>0</v>
      </c>
      <c r="CK58" s="15">
        <f t="shared" si="46"/>
        <v>0</v>
      </c>
      <c r="CM58" s="22">
        <f t="shared" si="47"/>
        <v>0</v>
      </c>
      <c r="CN58" s="15">
        <f t="shared" si="53"/>
        <v>0</v>
      </c>
    </row>
    <row r="59" spans="1:92">
      <c r="A59" s="25"/>
      <c r="B59" s="80">
        <v>38899</v>
      </c>
      <c r="C59" s="81">
        <f t="shared" si="0"/>
        <v>2.5482</v>
      </c>
      <c r="D59" s="82">
        <f t="shared" si="48"/>
        <v>2.6246460000000003</v>
      </c>
      <c r="E59" s="73">
        <f t="shared" si="54"/>
        <v>0</v>
      </c>
      <c r="F59" s="19">
        <f t="shared" si="70"/>
        <v>0</v>
      </c>
      <c r="G59" s="19">
        <f t="shared" si="56"/>
        <v>0</v>
      </c>
      <c r="H59" s="19">
        <f t="shared" si="71"/>
        <v>0</v>
      </c>
      <c r="I59" s="62"/>
      <c r="J59" s="15" t="str">
        <f t="shared" si="58"/>
        <v xml:space="preserve"> </v>
      </c>
      <c r="K59" s="15">
        <f>IF(B59&lt;=Dane_kredytowe!F$9,0,K58+1)</f>
        <v>0</v>
      </c>
      <c r="L59" s="83">
        <f t="shared" si="1"/>
        <v>1.5299999999999999E-2</v>
      </c>
      <c r="M59" s="84">
        <f>L59+Dane_kredytowe!F$12</f>
        <v>4.53E-2</v>
      </c>
      <c r="N59" s="79">
        <f>MAX(Dane_kredytowe!F$17+SUM(AA$5:AA58)-SUM(X$5:X59)+SUM(W$5:W59),0)</f>
        <v>95134.46</v>
      </c>
      <c r="O59" s="85">
        <f>MAX(Dane_kredytowe!F$8+SUM(V$5:V58)-SUM(S$5:S59)+SUM(R$5:R58),0)</f>
        <v>300000</v>
      </c>
      <c r="P59" s="67">
        <f t="shared" si="59"/>
        <v>360</v>
      </c>
      <c r="Q59" s="127" t="str">
        <f>IF(AND(K59&gt;0,K59&lt;=Dane_kredytowe!F$16),"tak","nie")</f>
        <v>nie</v>
      </c>
      <c r="R59" s="69"/>
      <c r="S59" s="86">
        <f>IF(Dane_kredytowe!F$19=B59,O58+V58,_xlfn.XLOOKUP(B59,Dane_kredytowe!M$9:M$18,Dane_kredytowe!N$9:N$18,0))</f>
        <v>0</v>
      </c>
      <c r="T59" s="71">
        <f t="shared" si="2"/>
        <v>0</v>
      </c>
      <c r="U59" s="72">
        <f>IF(Q59="tak",T59,IF(P59-SUM(AB$5:AB59)+1&gt;0,IF(Dane_kredytowe!F$9&lt;B59,IF(SUM(AB$5:AB59)-Dane_kredytowe!F$16+1&gt;0,PMT(M59/12,P59+1-SUM(AB$5:AB59),O59),T59),0),0))</f>
        <v>0</v>
      </c>
      <c r="V59" s="72">
        <f t="shared" si="32"/>
        <v>0</v>
      </c>
      <c r="W59" s="19" t="str">
        <f t="shared" si="33"/>
        <v xml:space="preserve"> </v>
      </c>
      <c r="X59" s="19">
        <f t="shared" si="3"/>
        <v>0</v>
      </c>
      <c r="Y59" s="73">
        <f t="shared" si="4"/>
        <v>0</v>
      </c>
      <c r="Z59" s="19">
        <f>IF(P59-SUM(AB$5:AB59)+1&gt;0,IF(Dane_kredytowe!F$9&lt;B59,IF(SUM(AB$5:AB59)-Dane_kredytowe!F$16+1&gt;0,PMT(M59/12,P59+1-SUM(AB$5:AB59),N59),Y59),0),0)</f>
        <v>0</v>
      </c>
      <c r="AA59" s="19">
        <f t="shared" si="68"/>
        <v>0</v>
      </c>
      <c r="AB59" s="20" t="str">
        <f>IF(AND(Dane_kredytowe!F$9&lt;B59,SUM(AB$5:AB58)&lt;P58),1," ")</f>
        <v xml:space="preserve"> </v>
      </c>
      <c r="AD59" s="75">
        <f>IF(OR(B59&lt;Dane_kredytowe!F$15,Dane_kredytowe!F$15=""),-F59+S59,0)</f>
        <v>0</v>
      </c>
      <c r="AE59" s="75">
        <f t="shared" si="5"/>
        <v>0</v>
      </c>
      <c r="AG59" s="22">
        <f>Dane_kredytowe!F$17-SUM(AI$5:AI58)+SUM(W$42:W59)-SUM(X$42:X59)</f>
        <v>95134.46</v>
      </c>
      <c r="AH59" s="22">
        <f t="shared" si="6"/>
        <v>0</v>
      </c>
      <c r="AI59" s="22">
        <f t="shared" si="7"/>
        <v>0</v>
      </c>
      <c r="AJ59" s="22">
        <f t="shared" si="61"/>
        <v>0</v>
      </c>
      <c r="AK59" s="22">
        <f t="shared" si="8"/>
        <v>0</v>
      </c>
      <c r="AL59" s="22">
        <f>Dane_kredytowe!F$8-SUM(AN$5:AN58)+SUM(R$42:R58)-SUM(S$42:S59)</f>
        <v>300000</v>
      </c>
      <c r="AM59" s="22">
        <f t="shared" si="9"/>
        <v>0</v>
      </c>
      <c r="AN59" s="22">
        <f t="shared" si="10"/>
        <v>0</v>
      </c>
      <c r="AO59" s="22">
        <f t="shared" si="62"/>
        <v>0</v>
      </c>
      <c r="AP59" s="22">
        <f t="shared" si="63"/>
        <v>0</v>
      </c>
      <c r="AR59" s="87">
        <f t="shared" si="11"/>
        <v>38899</v>
      </c>
      <c r="AS59" s="23">
        <f>AS$5+SUM(AV$5:AV58)-SUM(X$5:X59)+SUM(W$5:W59)</f>
        <v>139056.27143784185</v>
      </c>
      <c r="AT59" s="22">
        <f t="shared" si="12"/>
        <v>0</v>
      </c>
      <c r="AU59" s="22">
        <f>IF(AB59=1,IF(Q59="tak",AT59,PMT(M59/12,P59+1-SUM(AB$5:AB59),AS59)),0)</f>
        <v>0</v>
      </c>
      <c r="AV59" s="22">
        <f t="shared" si="64"/>
        <v>0</v>
      </c>
      <c r="AW59" s="22">
        <f t="shared" si="13"/>
        <v>0</v>
      </c>
      <c r="AY59" s="23">
        <f>AY$5+SUM(BA$5:BA58)+SUM(W$5:W58)-SUM(X$5:X58)</f>
        <v>139056.27143784185</v>
      </c>
      <c r="AZ59" s="23">
        <f t="shared" si="14"/>
        <v>0</v>
      </c>
      <c r="BA59" s="23">
        <f t="shared" si="15"/>
        <v>0</v>
      </c>
      <c r="BB59" s="23">
        <f t="shared" si="65"/>
        <v>0</v>
      </c>
      <c r="BC59" s="23">
        <f t="shared" si="16"/>
        <v>0</v>
      </c>
      <c r="BE59" s="88">
        <f t="shared" si="17"/>
        <v>4.19E-2</v>
      </c>
      <c r="BF59" s="89">
        <f>BE59+Dane_kredytowe!F$12</f>
        <v>7.1899999999999992E-2</v>
      </c>
      <c r="BG59" s="23">
        <f>BG$5+SUM(BH$5:BH58)+SUM(R$5:R58)-SUM(S$5:S58)</f>
        <v>300000</v>
      </c>
      <c r="BH59" s="22">
        <f t="shared" si="69"/>
        <v>0</v>
      </c>
      <c r="BI59" s="22">
        <f t="shared" si="67"/>
        <v>0</v>
      </c>
      <c r="BJ59" s="22">
        <f>IF(U59&lt;0,PMT(BF59/12,Dane_kredytowe!F$13-SUM(AB$5:AB59)+1,BG59),0)</f>
        <v>0</v>
      </c>
      <c r="BL59" s="23">
        <f>BL$5+SUM(BN$5:BN58)+SUM(R$5:R58)-SUM(S$5:S58)</f>
        <v>300000</v>
      </c>
      <c r="BM59" s="23">
        <f t="shared" si="18"/>
        <v>0</v>
      </c>
      <c r="BN59" s="23">
        <f t="shared" si="19"/>
        <v>0</v>
      </c>
      <c r="BO59" s="23">
        <f t="shared" si="20"/>
        <v>0</v>
      </c>
      <c r="BQ59" s="89">
        <f t="shared" si="42"/>
        <v>5.8599999999999999E-2</v>
      </c>
      <c r="BR59" s="23">
        <f>BR$5+SUM(BS$5:BS58)+SUM(R$5:R58)-SUM(S$5:S58)+SUM(BV$5:BV58)</f>
        <v>300000</v>
      </c>
      <c r="BS59" s="22">
        <f t="shared" si="49"/>
        <v>0</v>
      </c>
      <c r="BT59" s="22">
        <f t="shared" si="50"/>
        <v>0</v>
      </c>
      <c r="BU59" s="22">
        <f>IF(U59&lt;0,PMT(BQ59/12,Dane_kredytowe!F$13-SUM(AB$5:AB59)+1,BR59),0)</f>
        <v>0</v>
      </c>
      <c r="BV59" s="22">
        <f t="shared" si="43"/>
        <v>0</v>
      </c>
      <c r="BX59" s="23">
        <f>BX$5+SUM(BZ$5:BZ58)+SUM(R$5:R58)-SUM(S$5:S58)+SUM(CB$5,CB58)</f>
        <v>300000</v>
      </c>
      <c r="BY59" s="22">
        <f t="shared" si="21"/>
        <v>0</v>
      </c>
      <c r="BZ59" s="22">
        <f t="shared" si="22"/>
        <v>0</v>
      </c>
      <c r="CA59" s="22">
        <f t="shared" si="51"/>
        <v>0</v>
      </c>
      <c r="CB59" s="22">
        <f t="shared" si="52"/>
        <v>0</v>
      </c>
      <c r="CD59" s="22">
        <f>CD$5+SUM(CE$5:CE58)+SUM(R$5:R58)-SUM(S$5:S58)-SUM(CF$5:CF58)</f>
        <v>300000</v>
      </c>
      <c r="CE59" s="22">
        <f t="shared" si="44"/>
        <v>0</v>
      </c>
      <c r="CF59" s="22">
        <f t="shared" si="23"/>
        <v>0</v>
      </c>
      <c r="CG59" s="22">
        <f t="shared" si="45"/>
        <v>0</v>
      </c>
      <c r="CI59" s="89">
        <f t="shared" si="24"/>
        <v>0.81740000000000002</v>
      </c>
      <c r="CJ59" s="22">
        <f t="shared" si="25"/>
        <v>0</v>
      </c>
      <c r="CK59" s="15">
        <f t="shared" si="46"/>
        <v>0</v>
      </c>
      <c r="CM59" s="22">
        <f t="shared" si="47"/>
        <v>0</v>
      </c>
      <c r="CN59" s="15">
        <f t="shared" si="53"/>
        <v>0</v>
      </c>
    </row>
    <row r="60" spans="1:92">
      <c r="A60" s="25"/>
      <c r="B60" s="80">
        <v>38930</v>
      </c>
      <c r="C60" s="81">
        <f t="shared" si="0"/>
        <v>2.4725000000000001</v>
      </c>
      <c r="D60" s="82">
        <f t="shared" si="48"/>
        <v>2.546675</v>
      </c>
      <c r="E60" s="73">
        <f t="shared" si="54"/>
        <v>0</v>
      </c>
      <c r="F60" s="19">
        <f t="shared" si="70"/>
        <v>0</v>
      </c>
      <c r="G60" s="19">
        <f t="shared" si="56"/>
        <v>0</v>
      </c>
      <c r="H60" s="19">
        <f t="shared" si="71"/>
        <v>0</v>
      </c>
      <c r="I60" s="62"/>
      <c r="J60" s="15" t="str">
        <f t="shared" si="58"/>
        <v xml:space="preserve"> </v>
      </c>
      <c r="K60" s="15">
        <f>IF(B60&lt;=Dane_kredytowe!F$9,0,K59+1)</f>
        <v>0</v>
      </c>
      <c r="L60" s="83">
        <f t="shared" si="1"/>
        <v>1.61E-2</v>
      </c>
      <c r="M60" s="84">
        <f>L60+Dane_kredytowe!F$12</f>
        <v>4.6100000000000002E-2</v>
      </c>
      <c r="N60" s="79">
        <f>MAX(Dane_kredytowe!F$17+SUM(AA$5:AA59)-SUM(X$5:X60)+SUM(W$5:W60),0)</f>
        <v>95134.46</v>
      </c>
      <c r="O60" s="85">
        <f>MAX(Dane_kredytowe!F$8+SUM(V$5:V59)-SUM(S$5:S60)+SUM(R$5:R59),0)</f>
        <v>300000</v>
      </c>
      <c r="P60" s="67">
        <f t="shared" si="59"/>
        <v>360</v>
      </c>
      <c r="Q60" s="127" t="str">
        <f>IF(AND(K60&gt;0,K60&lt;=Dane_kredytowe!F$16),"tak","nie")</f>
        <v>nie</v>
      </c>
      <c r="R60" s="69"/>
      <c r="S60" s="86">
        <f>IF(Dane_kredytowe!F$19=B60,O59+V59,_xlfn.XLOOKUP(B60,Dane_kredytowe!M$9:M$18,Dane_kredytowe!N$9:N$18,0))</f>
        <v>0</v>
      </c>
      <c r="T60" s="71">
        <f t="shared" si="2"/>
        <v>0</v>
      </c>
      <c r="U60" s="72">
        <f>IF(Q60="tak",T60,IF(P60-SUM(AB$5:AB60)+1&gt;0,IF(Dane_kredytowe!F$9&lt;B60,IF(SUM(AB$5:AB60)-Dane_kredytowe!F$16+1&gt;0,PMT(M60/12,P60+1-SUM(AB$5:AB60),O60),T60),0),0))</f>
        <v>0</v>
      </c>
      <c r="V60" s="72">
        <f t="shared" si="32"/>
        <v>0</v>
      </c>
      <c r="W60" s="19" t="str">
        <f t="shared" si="33"/>
        <v xml:space="preserve"> </v>
      </c>
      <c r="X60" s="19">
        <f t="shared" si="3"/>
        <v>0</v>
      </c>
      <c r="Y60" s="73">
        <f t="shared" si="4"/>
        <v>0</v>
      </c>
      <c r="Z60" s="19">
        <f>IF(P60-SUM(AB$5:AB60)+1&gt;0,IF(Dane_kredytowe!F$9&lt;B60,IF(SUM(AB$5:AB60)-Dane_kredytowe!F$16+1&gt;0,PMT(M60/12,P60+1-SUM(AB$5:AB60),N60),Y60),0),0)</f>
        <v>0</v>
      </c>
      <c r="AA60" s="19">
        <f t="shared" si="68"/>
        <v>0</v>
      </c>
      <c r="AB60" s="20" t="str">
        <f>IF(AND(Dane_kredytowe!F$9&lt;B60,SUM(AB$5:AB59)&lt;P59),1," ")</f>
        <v xml:space="preserve"> </v>
      </c>
      <c r="AD60" s="75">
        <f>IF(OR(B60&lt;Dane_kredytowe!F$15,Dane_kredytowe!F$15=""),-F60+S60,0)</f>
        <v>0</v>
      </c>
      <c r="AE60" s="75">
        <f t="shared" si="5"/>
        <v>0</v>
      </c>
      <c r="AG60" s="22">
        <f>Dane_kredytowe!F$17-SUM(AI$5:AI59)+SUM(W$42:W60)-SUM(X$42:X60)</f>
        <v>95134.46</v>
      </c>
      <c r="AH60" s="22">
        <f t="shared" si="6"/>
        <v>0</v>
      </c>
      <c r="AI60" s="22">
        <f t="shared" si="7"/>
        <v>0</v>
      </c>
      <c r="AJ60" s="22">
        <f t="shared" si="61"/>
        <v>0</v>
      </c>
      <c r="AK60" s="22">
        <f t="shared" si="8"/>
        <v>0</v>
      </c>
      <c r="AL60" s="22">
        <f>Dane_kredytowe!F$8-SUM(AN$5:AN59)+SUM(R$42:R59)-SUM(S$42:S60)</f>
        <v>300000</v>
      </c>
      <c r="AM60" s="22">
        <f t="shared" si="9"/>
        <v>0</v>
      </c>
      <c r="AN60" s="22">
        <f t="shared" si="10"/>
        <v>0</v>
      </c>
      <c r="AO60" s="22">
        <f t="shared" si="62"/>
        <v>0</v>
      </c>
      <c r="AP60" s="22">
        <f t="shared" si="63"/>
        <v>0</v>
      </c>
      <c r="AR60" s="87">
        <f t="shared" si="11"/>
        <v>38930</v>
      </c>
      <c r="AS60" s="23">
        <f>AS$5+SUM(AV$5:AV59)-SUM(X$5:X60)+SUM(W$5:W60)</f>
        <v>139056.27143784185</v>
      </c>
      <c r="AT60" s="22">
        <f t="shared" si="12"/>
        <v>0</v>
      </c>
      <c r="AU60" s="22">
        <f>IF(AB60=1,IF(Q60="tak",AT60,PMT(M60/12,P60+1-SUM(AB$5:AB60),AS60)),0)</f>
        <v>0</v>
      </c>
      <c r="AV60" s="22">
        <f t="shared" si="64"/>
        <v>0</v>
      </c>
      <c r="AW60" s="22">
        <f t="shared" si="13"/>
        <v>0</v>
      </c>
      <c r="AY60" s="23">
        <f>AY$5+SUM(BA$5:BA59)+SUM(W$5:W59)-SUM(X$5:X59)</f>
        <v>139056.27143784185</v>
      </c>
      <c r="AZ60" s="23">
        <f t="shared" si="14"/>
        <v>0</v>
      </c>
      <c r="BA60" s="23">
        <f t="shared" si="15"/>
        <v>0</v>
      </c>
      <c r="BB60" s="23">
        <f t="shared" si="65"/>
        <v>0</v>
      </c>
      <c r="BC60" s="23">
        <f t="shared" si="16"/>
        <v>0</v>
      </c>
      <c r="BE60" s="88">
        <f t="shared" si="17"/>
        <v>4.19E-2</v>
      </c>
      <c r="BF60" s="89">
        <f>BE60+Dane_kredytowe!F$12</f>
        <v>7.1899999999999992E-2</v>
      </c>
      <c r="BG60" s="23">
        <f>BG$5+SUM(BH$5:BH59)+SUM(R$5:R59)-SUM(S$5:S59)</f>
        <v>300000</v>
      </c>
      <c r="BH60" s="22">
        <f t="shared" si="69"/>
        <v>0</v>
      </c>
      <c r="BI60" s="22">
        <f t="shared" si="67"/>
        <v>0</v>
      </c>
      <c r="BJ60" s="22">
        <f>IF(U60&lt;0,PMT(BF60/12,Dane_kredytowe!F$13-SUM(AB$5:AB60)+1,BG60),0)</f>
        <v>0</v>
      </c>
      <c r="BL60" s="23">
        <f>BL$5+SUM(BN$5:BN59)+SUM(R$5:R59)-SUM(S$5:S59)</f>
        <v>300000</v>
      </c>
      <c r="BM60" s="23">
        <f t="shared" si="18"/>
        <v>0</v>
      </c>
      <c r="BN60" s="23">
        <f t="shared" si="19"/>
        <v>0</v>
      </c>
      <c r="BO60" s="23">
        <f t="shared" si="20"/>
        <v>0</v>
      </c>
      <c r="BQ60" s="89">
        <f t="shared" si="42"/>
        <v>5.8599999999999999E-2</v>
      </c>
      <c r="BR60" s="23">
        <f>BR$5+SUM(BS$5:BS59)+SUM(R$5:R59)-SUM(S$5:S59)+SUM(BV$5:BV59)</f>
        <v>300000</v>
      </c>
      <c r="BS60" s="22">
        <f t="shared" si="49"/>
        <v>0</v>
      </c>
      <c r="BT60" s="22">
        <f t="shared" si="50"/>
        <v>0</v>
      </c>
      <c r="BU60" s="22">
        <f>IF(U60&lt;0,PMT(BQ60/12,Dane_kredytowe!F$13-SUM(AB$5:AB60)+1,BR60),0)</f>
        <v>0</v>
      </c>
      <c r="BV60" s="22">
        <f t="shared" si="43"/>
        <v>0</v>
      </c>
      <c r="BX60" s="23">
        <f>BX$5+SUM(BZ$5:BZ59)+SUM(R$5:R59)-SUM(S$5:S59)+SUM(CB$5,CB59)</f>
        <v>300000</v>
      </c>
      <c r="BY60" s="22">
        <f t="shared" si="21"/>
        <v>0</v>
      </c>
      <c r="BZ60" s="22">
        <f t="shared" si="22"/>
        <v>0</v>
      </c>
      <c r="CA60" s="22">
        <f t="shared" si="51"/>
        <v>0</v>
      </c>
      <c r="CB60" s="22">
        <f t="shared" si="52"/>
        <v>0</v>
      </c>
      <c r="CD60" s="22">
        <f>CD$5+SUM(CE$5:CE59)+SUM(R$5:R59)-SUM(S$5:S59)-SUM(CF$5:CF59)</f>
        <v>300000</v>
      </c>
      <c r="CE60" s="22">
        <f t="shared" si="44"/>
        <v>0</v>
      </c>
      <c r="CF60" s="22">
        <f t="shared" si="23"/>
        <v>0</v>
      </c>
      <c r="CG60" s="22">
        <f t="shared" si="45"/>
        <v>0</v>
      </c>
      <c r="CI60" s="89">
        <f t="shared" si="24"/>
        <v>0.81189999999999996</v>
      </c>
      <c r="CJ60" s="22">
        <f t="shared" si="25"/>
        <v>0</v>
      </c>
      <c r="CK60" s="15">
        <f t="shared" si="46"/>
        <v>0</v>
      </c>
      <c r="CM60" s="22">
        <f t="shared" si="47"/>
        <v>0</v>
      </c>
      <c r="CN60" s="15">
        <f t="shared" si="53"/>
        <v>0</v>
      </c>
    </row>
    <row r="61" spans="1:92">
      <c r="A61" s="25"/>
      <c r="B61" s="80">
        <v>38961</v>
      </c>
      <c r="C61" s="81">
        <f t="shared" si="0"/>
        <v>2.5062000000000002</v>
      </c>
      <c r="D61" s="82">
        <f t="shared" si="48"/>
        <v>2.5813860000000002</v>
      </c>
      <c r="E61" s="73">
        <f t="shared" si="54"/>
        <v>0</v>
      </c>
      <c r="F61" s="19">
        <f t="shared" si="70"/>
        <v>0</v>
      </c>
      <c r="G61" s="19">
        <f t="shared" si="56"/>
        <v>0</v>
      </c>
      <c r="H61" s="19">
        <f t="shared" si="71"/>
        <v>0</v>
      </c>
      <c r="I61" s="62"/>
      <c r="J61" s="15" t="str">
        <f t="shared" si="58"/>
        <v xml:space="preserve"> </v>
      </c>
      <c r="K61" s="15">
        <f>IF(B61&lt;=Dane_kredytowe!F$9,0,K60+1)</f>
        <v>0</v>
      </c>
      <c r="L61" s="83">
        <f t="shared" si="1"/>
        <v>1.67E-2</v>
      </c>
      <c r="M61" s="84">
        <f>L61+Dane_kredytowe!F$12</f>
        <v>4.6699999999999998E-2</v>
      </c>
      <c r="N61" s="79">
        <f>MAX(Dane_kredytowe!F$17+SUM(AA$5:AA60)-SUM(X$5:X61)+SUM(W$5:W61),0)</f>
        <v>95134.46</v>
      </c>
      <c r="O61" s="85">
        <f>MAX(Dane_kredytowe!F$8+SUM(V$5:V60)-SUM(S$5:S61)+SUM(R$5:R60),0)</f>
        <v>300000</v>
      </c>
      <c r="P61" s="67">
        <f t="shared" si="59"/>
        <v>360</v>
      </c>
      <c r="Q61" s="127" t="str">
        <f>IF(AND(K61&gt;0,K61&lt;=Dane_kredytowe!F$16),"tak","nie")</f>
        <v>nie</v>
      </c>
      <c r="R61" s="69"/>
      <c r="S61" s="86">
        <f>IF(Dane_kredytowe!F$19=B61,O60+V60,_xlfn.XLOOKUP(B61,Dane_kredytowe!M$9:M$18,Dane_kredytowe!N$9:N$18,0))</f>
        <v>0</v>
      </c>
      <c r="T61" s="71">
        <f t="shared" si="2"/>
        <v>0</v>
      </c>
      <c r="U61" s="72">
        <f>IF(Q61="tak",T61,IF(P61-SUM(AB$5:AB61)+1&gt;0,IF(Dane_kredytowe!F$9&lt;B61,IF(SUM(AB$5:AB61)-Dane_kredytowe!F$16+1&gt;0,PMT(M61/12,P61+1-SUM(AB$5:AB61),O61),T61),0),0))</f>
        <v>0</v>
      </c>
      <c r="V61" s="72">
        <f t="shared" si="32"/>
        <v>0</v>
      </c>
      <c r="W61" s="19" t="str">
        <f t="shared" si="33"/>
        <v xml:space="preserve"> </v>
      </c>
      <c r="X61" s="19">
        <f t="shared" si="3"/>
        <v>0</v>
      </c>
      <c r="Y61" s="73">
        <f t="shared" si="4"/>
        <v>0</v>
      </c>
      <c r="Z61" s="19">
        <f>IF(P61-SUM(AB$5:AB61)+1&gt;0,IF(Dane_kredytowe!F$9&lt;B61,IF(SUM(AB$5:AB61)-Dane_kredytowe!F$16+1&gt;0,PMT(M61/12,P61+1-SUM(AB$5:AB61),N61),Y61),0),0)</f>
        <v>0</v>
      </c>
      <c r="AA61" s="19">
        <f t="shared" si="68"/>
        <v>0</v>
      </c>
      <c r="AB61" s="20" t="str">
        <f>IF(AND(Dane_kredytowe!F$9&lt;B61,SUM(AB$5:AB60)&lt;P60),1," ")</f>
        <v xml:space="preserve"> </v>
      </c>
      <c r="AD61" s="75">
        <f>IF(OR(B61&lt;Dane_kredytowe!F$15,Dane_kredytowe!F$15=""),-F61+S61,0)</f>
        <v>0</v>
      </c>
      <c r="AE61" s="75">
        <f t="shared" si="5"/>
        <v>0</v>
      </c>
      <c r="AG61" s="22">
        <f>Dane_kredytowe!F$17-SUM(AI$5:AI60)+SUM(W$42:W61)-SUM(X$42:X61)</f>
        <v>95134.46</v>
      </c>
      <c r="AH61" s="22">
        <f t="shared" si="6"/>
        <v>0</v>
      </c>
      <c r="AI61" s="22">
        <f t="shared" si="7"/>
        <v>0</v>
      </c>
      <c r="AJ61" s="22">
        <f t="shared" si="61"/>
        <v>0</v>
      </c>
      <c r="AK61" s="22">
        <f t="shared" si="8"/>
        <v>0</v>
      </c>
      <c r="AL61" s="22">
        <f>Dane_kredytowe!F$8-SUM(AN$5:AN60)+SUM(R$42:R60)-SUM(S$42:S61)</f>
        <v>300000</v>
      </c>
      <c r="AM61" s="22">
        <f t="shared" si="9"/>
        <v>0</v>
      </c>
      <c r="AN61" s="22">
        <f t="shared" si="10"/>
        <v>0</v>
      </c>
      <c r="AO61" s="22">
        <f t="shared" si="62"/>
        <v>0</v>
      </c>
      <c r="AP61" s="22">
        <f t="shared" si="63"/>
        <v>0</v>
      </c>
      <c r="AR61" s="87">
        <f t="shared" si="11"/>
        <v>38961</v>
      </c>
      <c r="AS61" s="23">
        <f>AS$5+SUM(AV$5:AV60)-SUM(X$5:X61)+SUM(W$5:W61)</f>
        <v>139056.27143784185</v>
      </c>
      <c r="AT61" s="22">
        <f t="shared" si="12"/>
        <v>0</v>
      </c>
      <c r="AU61" s="22">
        <f>IF(AB61=1,IF(Q61="tak",AT61,PMT(M61/12,P61+1-SUM(AB$5:AB61),AS61)),0)</f>
        <v>0</v>
      </c>
      <c r="AV61" s="22">
        <f t="shared" si="64"/>
        <v>0</v>
      </c>
      <c r="AW61" s="22">
        <f t="shared" si="13"/>
        <v>0</v>
      </c>
      <c r="AY61" s="23">
        <f>AY$5+SUM(BA$5:BA60)+SUM(W$5:W60)-SUM(X$5:X60)</f>
        <v>139056.27143784185</v>
      </c>
      <c r="AZ61" s="23">
        <f t="shared" si="14"/>
        <v>0</v>
      </c>
      <c r="BA61" s="23">
        <f t="shared" si="15"/>
        <v>0</v>
      </c>
      <c r="BB61" s="23">
        <f t="shared" si="65"/>
        <v>0</v>
      </c>
      <c r="BC61" s="23">
        <f t="shared" si="16"/>
        <v>0</v>
      </c>
      <c r="BE61" s="88">
        <f t="shared" si="17"/>
        <v>4.2099999999999999E-2</v>
      </c>
      <c r="BF61" s="89">
        <f>BE61+Dane_kredytowe!F$12</f>
        <v>7.2099999999999997E-2</v>
      </c>
      <c r="BG61" s="23">
        <f>BG$5+SUM(BH$5:BH60)+SUM(R$5:R60)-SUM(S$5:S60)</f>
        <v>300000</v>
      </c>
      <c r="BH61" s="22">
        <f t="shared" si="69"/>
        <v>0</v>
      </c>
      <c r="BI61" s="22">
        <f t="shared" si="67"/>
        <v>0</v>
      </c>
      <c r="BJ61" s="22">
        <f>IF(U61&lt;0,PMT(BF61/12,Dane_kredytowe!F$13-SUM(AB$5:AB61)+1,BG61),0)</f>
        <v>0</v>
      </c>
      <c r="BL61" s="23">
        <f>BL$5+SUM(BN$5:BN60)+SUM(R$5:R60)-SUM(S$5:S60)</f>
        <v>300000</v>
      </c>
      <c r="BM61" s="23">
        <f t="shared" si="18"/>
        <v>0</v>
      </c>
      <c r="BN61" s="23">
        <f t="shared" si="19"/>
        <v>0</v>
      </c>
      <c r="BO61" s="23">
        <f t="shared" si="20"/>
        <v>0</v>
      </c>
      <c r="BQ61" s="89">
        <f t="shared" si="42"/>
        <v>5.8799999999999998E-2</v>
      </c>
      <c r="BR61" s="23">
        <f>BR$5+SUM(BS$5:BS60)+SUM(R$5:R60)-SUM(S$5:S60)+SUM(BV$5:BV60)</f>
        <v>300000</v>
      </c>
      <c r="BS61" s="22">
        <f t="shared" si="49"/>
        <v>0</v>
      </c>
      <c r="BT61" s="22">
        <f t="shared" si="50"/>
        <v>0</v>
      </c>
      <c r="BU61" s="22">
        <f>IF(U61&lt;0,PMT(BQ61/12,Dane_kredytowe!F$13-SUM(AB$5:AB61)+1,BR61),0)</f>
        <v>0</v>
      </c>
      <c r="BV61" s="22">
        <f t="shared" si="43"/>
        <v>0</v>
      </c>
      <c r="BX61" s="23">
        <f>BX$5+SUM(BZ$5:BZ60)+SUM(R$5:R60)-SUM(S$5:S60)+SUM(CB$5,CB60)</f>
        <v>300000</v>
      </c>
      <c r="BY61" s="22">
        <f t="shared" si="21"/>
        <v>0</v>
      </c>
      <c r="BZ61" s="22">
        <f t="shared" si="22"/>
        <v>0</v>
      </c>
      <c r="CA61" s="22">
        <f t="shared" si="51"/>
        <v>0</v>
      </c>
      <c r="CB61" s="22">
        <f t="shared" si="52"/>
        <v>0</v>
      </c>
      <c r="CD61" s="22">
        <f>CD$5+SUM(CE$5:CE60)+SUM(R$5:R60)-SUM(S$5:S60)-SUM(CF$5:CF60)</f>
        <v>300000</v>
      </c>
      <c r="CE61" s="22">
        <f t="shared" si="44"/>
        <v>0</v>
      </c>
      <c r="CF61" s="22">
        <f t="shared" si="23"/>
        <v>0</v>
      </c>
      <c r="CG61" s="22">
        <f t="shared" si="45"/>
        <v>0</v>
      </c>
      <c r="CI61" s="89">
        <f t="shared" si="24"/>
        <v>0.80830000000000002</v>
      </c>
      <c r="CJ61" s="22">
        <f t="shared" si="25"/>
        <v>0</v>
      </c>
      <c r="CK61" s="15">
        <f t="shared" si="46"/>
        <v>0</v>
      </c>
      <c r="CM61" s="22">
        <f t="shared" si="47"/>
        <v>0</v>
      </c>
      <c r="CN61" s="15">
        <f t="shared" si="53"/>
        <v>0</v>
      </c>
    </row>
    <row r="62" spans="1:92">
      <c r="A62" s="25"/>
      <c r="B62" s="80">
        <v>38991</v>
      </c>
      <c r="C62" s="81">
        <f t="shared" si="0"/>
        <v>2.4546999999999999</v>
      </c>
      <c r="D62" s="82">
        <f t="shared" si="48"/>
        <v>2.5283409999999997</v>
      </c>
      <c r="E62" s="73">
        <f t="shared" si="54"/>
        <v>0</v>
      </c>
      <c r="F62" s="19">
        <f t="shared" si="70"/>
        <v>0</v>
      </c>
      <c r="G62" s="19">
        <f t="shared" si="56"/>
        <v>0</v>
      </c>
      <c r="H62" s="19">
        <f t="shared" si="71"/>
        <v>0</v>
      </c>
      <c r="I62" s="62"/>
      <c r="J62" s="15" t="str">
        <f t="shared" si="58"/>
        <v xml:space="preserve"> </v>
      </c>
      <c r="K62" s="15">
        <f>IF(B62&lt;=Dane_kredytowe!F$9,0,K61+1)</f>
        <v>0</v>
      </c>
      <c r="L62" s="83">
        <f t="shared" si="1"/>
        <v>1.8100000000000002E-2</v>
      </c>
      <c r="M62" s="84">
        <f>L62+Dane_kredytowe!F$12</f>
        <v>4.8100000000000004E-2</v>
      </c>
      <c r="N62" s="79">
        <f>MAX(Dane_kredytowe!F$17+SUM(AA$5:AA61)-SUM(X$5:X62)+SUM(W$5:W62),0)</f>
        <v>95134.46</v>
      </c>
      <c r="O62" s="85">
        <f>MAX(Dane_kredytowe!F$8+SUM(V$5:V61)-SUM(S$5:S62)+SUM(R$5:R61),0)</f>
        <v>300000</v>
      </c>
      <c r="P62" s="67">
        <f t="shared" si="59"/>
        <v>360</v>
      </c>
      <c r="Q62" s="127" t="str">
        <f>IF(AND(K62&gt;0,K62&lt;=Dane_kredytowe!F$16),"tak","nie")</f>
        <v>nie</v>
      </c>
      <c r="R62" s="69"/>
      <c r="S62" s="86">
        <f>IF(Dane_kredytowe!F$19=B62,O61+V61,_xlfn.XLOOKUP(B62,Dane_kredytowe!M$9:M$18,Dane_kredytowe!N$9:N$18,0))</f>
        <v>0</v>
      </c>
      <c r="T62" s="71">
        <f t="shared" si="2"/>
        <v>0</v>
      </c>
      <c r="U62" s="72">
        <f>IF(Q62="tak",T62,IF(P62-SUM(AB$5:AB62)+1&gt;0,IF(Dane_kredytowe!F$9&lt;B62,IF(SUM(AB$5:AB62)-Dane_kredytowe!F$16+1&gt;0,PMT(M62/12,P62+1-SUM(AB$5:AB62),O62),T62),0),0))</f>
        <v>0</v>
      </c>
      <c r="V62" s="72">
        <f t="shared" si="32"/>
        <v>0</v>
      </c>
      <c r="W62" s="19" t="str">
        <f t="shared" si="33"/>
        <v xml:space="preserve"> </v>
      </c>
      <c r="X62" s="19">
        <f t="shared" si="3"/>
        <v>0</v>
      </c>
      <c r="Y62" s="73">
        <f t="shared" si="4"/>
        <v>0</v>
      </c>
      <c r="Z62" s="19">
        <f>IF(P62-SUM(AB$5:AB62)+1&gt;0,IF(Dane_kredytowe!F$9&lt;B62,IF(SUM(AB$5:AB62)-Dane_kredytowe!F$16+1&gt;0,PMT(M62/12,P62+1-SUM(AB$5:AB62),N62),Y62),0),0)</f>
        <v>0</v>
      </c>
      <c r="AA62" s="19">
        <f t="shared" si="68"/>
        <v>0</v>
      </c>
      <c r="AB62" s="20" t="str">
        <f>IF(AND(Dane_kredytowe!F$9&lt;B62,SUM(AB$5:AB61)&lt;P61),1," ")</f>
        <v xml:space="preserve"> </v>
      </c>
      <c r="AD62" s="75">
        <f>IF(OR(B62&lt;Dane_kredytowe!F$15,Dane_kredytowe!F$15=""),-F62+S62,0)</f>
        <v>0</v>
      </c>
      <c r="AE62" s="75">
        <f t="shared" si="5"/>
        <v>0</v>
      </c>
      <c r="AG62" s="22">
        <f>Dane_kredytowe!F$17-SUM(AI$5:AI61)+SUM(W$42:W62)-SUM(X$42:X62)</f>
        <v>95134.46</v>
      </c>
      <c r="AH62" s="22">
        <f t="shared" si="6"/>
        <v>0</v>
      </c>
      <c r="AI62" s="22">
        <f t="shared" si="7"/>
        <v>0</v>
      </c>
      <c r="AJ62" s="22">
        <f t="shared" si="61"/>
        <v>0</v>
      </c>
      <c r="AK62" s="22">
        <f t="shared" si="8"/>
        <v>0</v>
      </c>
      <c r="AL62" s="22">
        <f>Dane_kredytowe!F$8-SUM(AN$5:AN61)+SUM(R$42:R61)-SUM(S$42:S62)</f>
        <v>300000</v>
      </c>
      <c r="AM62" s="22">
        <f t="shared" si="9"/>
        <v>0</v>
      </c>
      <c r="AN62" s="22">
        <f t="shared" si="10"/>
        <v>0</v>
      </c>
      <c r="AO62" s="22">
        <f t="shared" si="62"/>
        <v>0</v>
      </c>
      <c r="AP62" s="22">
        <f t="shared" si="63"/>
        <v>0</v>
      </c>
      <c r="AR62" s="87">
        <f t="shared" si="11"/>
        <v>38991</v>
      </c>
      <c r="AS62" s="23">
        <f>AS$5+SUM(AV$5:AV61)-SUM(X$5:X62)+SUM(W$5:W62)</f>
        <v>139056.27143784185</v>
      </c>
      <c r="AT62" s="22">
        <f t="shared" si="12"/>
        <v>0</v>
      </c>
      <c r="AU62" s="22">
        <f>IF(AB62=1,IF(Q62="tak",AT62,PMT(M62/12,P62+1-SUM(AB$5:AB62),AS62)),0)</f>
        <v>0</v>
      </c>
      <c r="AV62" s="22">
        <f t="shared" si="64"/>
        <v>0</v>
      </c>
      <c r="AW62" s="22">
        <f t="shared" si="13"/>
        <v>0</v>
      </c>
      <c r="AY62" s="23">
        <f>AY$5+SUM(BA$5:BA61)+SUM(W$5:W61)-SUM(X$5:X61)</f>
        <v>139056.27143784185</v>
      </c>
      <c r="AZ62" s="23">
        <f t="shared" si="14"/>
        <v>0</v>
      </c>
      <c r="BA62" s="23">
        <f t="shared" si="15"/>
        <v>0</v>
      </c>
      <c r="BB62" s="23">
        <f t="shared" si="65"/>
        <v>0</v>
      </c>
      <c r="BC62" s="23">
        <f t="shared" si="16"/>
        <v>0</v>
      </c>
      <c r="BE62" s="88">
        <f t="shared" si="17"/>
        <v>4.2200000000000001E-2</v>
      </c>
      <c r="BF62" s="89">
        <f>BE62+Dane_kredytowe!F$12</f>
        <v>7.22E-2</v>
      </c>
      <c r="BG62" s="23">
        <f>BG$5+SUM(BH$5:BH61)+SUM(R$5:R61)-SUM(S$5:S61)</f>
        <v>300000</v>
      </c>
      <c r="BH62" s="22">
        <f t="shared" si="69"/>
        <v>0</v>
      </c>
      <c r="BI62" s="22">
        <f t="shared" si="67"/>
        <v>0</v>
      </c>
      <c r="BJ62" s="22">
        <f>IF(U62&lt;0,PMT(BF62/12,Dane_kredytowe!F$13-SUM(AB$5:AB62)+1,BG62),0)</f>
        <v>0</v>
      </c>
      <c r="BL62" s="23">
        <f>BL$5+SUM(BN$5:BN61)+SUM(R$5:R61)-SUM(S$5:S61)</f>
        <v>300000</v>
      </c>
      <c r="BM62" s="23">
        <f t="shared" si="18"/>
        <v>0</v>
      </c>
      <c r="BN62" s="23">
        <f t="shared" si="19"/>
        <v>0</v>
      </c>
      <c r="BO62" s="23">
        <f t="shared" si="20"/>
        <v>0</v>
      </c>
      <c r="BQ62" s="89">
        <f t="shared" si="42"/>
        <v>5.8900000000000001E-2</v>
      </c>
      <c r="BR62" s="23">
        <f>BR$5+SUM(BS$5:BS61)+SUM(R$5:R61)-SUM(S$5:S61)+SUM(BV$5:BV61)</f>
        <v>300000</v>
      </c>
      <c r="BS62" s="22">
        <f t="shared" si="49"/>
        <v>0</v>
      </c>
      <c r="BT62" s="22">
        <f t="shared" si="50"/>
        <v>0</v>
      </c>
      <c r="BU62" s="22">
        <f>IF(U62&lt;0,PMT(BQ62/12,Dane_kredytowe!F$13-SUM(AB$5:AB62)+1,BR62),0)</f>
        <v>0</v>
      </c>
      <c r="BV62" s="22">
        <f t="shared" si="43"/>
        <v>0</v>
      </c>
      <c r="BX62" s="23">
        <f>BX$5+SUM(BZ$5:BZ61)+SUM(R$5:R61)-SUM(S$5:S61)+SUM(CB$5,CB61)</f>
        <v>300000</v>
      </c>
      <c r="BY62" s="22">
        <f t="shared" si="21"/>
        <v>0</v>
      </c>
      <c r="BZ62" s="22">
        <f t="shared" si="22"/>
        <v>0</v>
      </c>
      <c r="CA62" s="22">
        <f t="shared" si="51"/>
        <v>0</v>
      </c>
      <c r="CB62" s="22">
        <f t="shared" si="52"/>
        <v>0</v>
      </c>
      <c r="CD62" s="22">
        <f>CD$5+SUM(CE$5:CE61)+SUM(R$5:R61)-SUM(S$5:S61)-SUM(CF$5:CF61)</f>
        <v>300000</v>
      </c>
      <c r="CE62" s="22">
        <f t="shared" si="44"/>
        <v>0</v>
      </c>
      <c r="CF62" s="22">
        <f t="shared" si="23"/>
        <v>0</v>
      </c>
      <c r="CG62" s="22">
        <f t="shared" si="45"/>
        <v>0</v>
      </c>
      <c r="CI62" s="89">
        <f t="shared" si="24"/>
        <v>0.80649999999999999</v>
      </c>
      <c r="CJ62" s="22">
        <f t="shared" si="25"/>
        <v>0</v>
      </c>
      <c r="CK62" s="15">
        <f t="shared" si="46"/>
        <v>0</v>
      </c>
      <c r="CM62" s="22">
        <f t="shared" si="47"/>
        <v>0</v>
      </c>
      <c r="CN62" s="15">
        <f t="shared" si="53"/>
        <v>0</v>
      </c>
    </row>
    <row r="63" spans="1:92">
      <c r="A63" s="25"/>
      <c r="B63" s="80">
        <v>39022</v>
      </c>
      <c r="C63" s="81">
        <f t="shared" si="0"/>
        <v>2.4055</v>
      </c>
      <c r="D63" s="82">
        <f t="shared" si="48"/>
        <v>2.477665</v>
      </c>
      <c r="E63" s="73">
        <f t="shared" si="54"/>
        <v>0</v>
      </c>
      <c r="F63" s="19">
        <f t="shared" si="70"/>
        <v>0</v>
      </c>
      <c r="G63" s="19">
        <f t="shared" si="56"/>
        <v>0</v>
      </c>
      <c r="H63" s="19">
        <f t="shared" si="71"/>
        <v>0</v>
      </c>
      <c r="I63" s="62"/>
      <c r="J63" s="15" t="str">
        <f t="shared" si="58"/>
        <v xml:space="preserve"> </v>
      </c>
      <c r="K63" s="15">
        <f>IF(B63&lt;=Dane_kredytowe!F$9,0,K62+1)</f>
        <v>0</v>
      </c>
      <c r="L63" s="83">
        <f t="shared" si="1"/>
        <v>1.8100000000000002E-2</v>
      </c>
      <c r="M63" s="84">
        <f>L63+Dane_kredytowe!F$12</f>
        <v>4.8100000000000004E-2</v>
      </c>
      <c r="N63" s="79">
        <f>MAX(Dane_kredytowe!F$17+SUM(AA$5:AA62)-SUM(X$5:X63)+SUM(W$5:W63),0)</f>
        <v>95134.46</v>
      </c>
      <c r="O63" s="85">
        <f>MAX(Dane_kredytowe!F$8+SUM(V$5:V62)-SUM(S$5:S63)+SUM(R$5:R62),0)</f>
        <v>300000</v>
      </c>
      <c r="P63" s="67">
        <f t="shared" si="59"/>
        <v>360</v>
      </c>
      <c r="Q63" s="127" t="str">
        <f>IF(AND(K63&gt;0,K63&lt;=Dane_kredytowe!F$16),"tak","nie")</f>
        <v>nie</v>
      </c>
      <c r="R63" s="69"/>
      <c r="S63" s="86">
        <f>IF(Dane_kredytowe!F$19=B63,O62+V62,_xlfn.XLOOKUP(B63,Dane_kredytowe!M$9:M$18,Dane_kredytowe!N$9:N$18,0))</f>
        <v>0</v>
      </c>
      <c r="T63" s="71">
        <f t="shared" si="2"/>
        <v>0</v>
      </c>
      <c r="U63" s="72">
        <f>IF(Q63="tak",T63,IF(P63-SUM(AB$5:AB63)+1&gt;0,IF(Dane_kredytowe!F$9&lt;B63,IF(SUM(AB$5:AB63)-Dane_kredytowe!F$16+1&gt;0,PMT(M63/12,P63+1-SUM(AB$5:AB63),O63),T63),0),0))</f>
        <v>0</v>
      </c>
      <c r="V63" s="72">
        <f t="shared" si="32"/>
        <v>0</v>
      </c>
      <c r="W63" s="19" t="str">
        <f t="shared" si="33"/>
        <v xml:space="preserve"> </v>
      </c>
      <c r="X63" s="19">
        <f t="shared" si="3"/>
        <v>0</v>
      </c>
      <c r="Y63" s="73">
        <f t="shared" si="4"/>
        <v>0</v>
      </c>
      <c r="Z63" s="19">
        <f>IF(P63-SUM(AB$5:AB63)+1&gt;0,IF(Dane_kredytowe!F$9&lt;B63,IF(SUM(AB$5:AB63)-Dane_kredytowe!F$16+1&gt;0,PMT(M63/12,P63+1-SUM(AB$5:AB63),N63),Y63),0),0)</f>
        <v>0</v>
      </c>
      <c r="AA63" s="19">
        <f t="shared" si="68"/>
        <v>0</v>
      </c>
      <c r="AB63" s="20" t="str">
        <f>IF(AND(Dane_kredytowe!F$9&lt;B63,SUM(AB$5:AB62)&lt;P62),1," ")</f>
        <v xml:space="preserve"> </v>
      </c>
      <c r="AD63" s="75">
        <f>IF(OR(B63&lt;Dane_kredytowe!F$15,Dane_kredytowe!F$15=""),-F63+S63,0)</f>
        <v>0</v>
      </c>
      <c r="AE63" s="75">
        <f t="shared" si="5"/>
        <v>0</v>
      </c>
      <c r="AG63" s="22">
        <f>Dane_kredytowe!F$17-SUM(AI$5:AI62)+SUM(W$42:W63)-SUM(X$42:X63)</f>
        <v>95134.46</v>
      </c>
      <c r="AH63" s="22">
        <f t="shared" si="6"/>
        <v>0</v>
      </c>
      <c r="AI63" s="22">
        <f t="shared" si="7"/>
        <v>0</v>
      </c>
      <c r="AJ63" s="22">
        <f t="shared" si="61"/>
        <v>0</v>
      </c>
      <c r="AK63" s="22">
        <f t="shared" si="8"/>
        <v>0</v>
      </c>
      <c r="AL63" s="22">
        <f>Dane_kredytowe!F$8-SUM(AN$5:AN62)+SUM(R$42:R62)-SUM(S$42:S63)</f>
        <v>300000</v>
      </c>
      <c r="AM63" s="22">
        <f t="shared" si="9"/>
        <v>0</v>
      </c>
      <c r="AN63" s="22">
        <f t="shared" si="10"/>
        <v>0</v>
      </c>
      <c r="AO63" s="22">
        <f t="shared" si="62"/>
        <v>0</v>
      </c>
      <c r="AP63" s="22">
        <f t="shared" si="63"/>
        <v>0</v>
      </c>
      <c r="AR63" s="87">
        <f t="shared" si="11"/>
        <v>39022</v>
      </c>
      <c r="AS63" s="23">
        <f>AS$5+SUM(AV$5:AV62)-SUM(X$5:X63)+SUM(W$5:W63)</f>
        <v>139056.27143784185</v>
      </c>
      <c r="AT63" s="22">
        <f t="shared" si="12"/>
        <v>0</v>
      </c>
      <c r="AU63" s="22">
        <f>IF(AB63=1,IF(Q63="tak",AT63,PMT(M63/12,P63+1-SUM(AB$5:AB63),AS63)),0)</f>
        <v>0</v>
      </c>
      <c r="AV63" s="22">
        <f t="shared" si="64"/>
        <v>0</v>
      </c>
      <c r="AW63" s="22">
        <f t="shared" si="13"/>
        <v>0</v>
      </c>
      <c r="AY63" s="23">
        <f>AY$5+SUM(BA$5:BA62)+SUM(W$5:W62)-SUM(X$5:X62)</f>
        <v>139056.27143784185</v>
      </c>
      <c r="AZ63" s="23">
        <f t="shared" si="14"/>
        <v>0</v>
      </c>
      <c r="BA63" s="23">
        <f t="shared" si="15"/>
        <v>0</v>
      </c>
      <c r="BB63" s="23">
        <f t="shared" si="65"/>
        <v>0</v>
      </c>
      <c r="BC63" s="23">
        <f t="shared" si="16"/>
        <v>0</v>
      </c>
      <c r="BE63" s="88">
        <f t="shared" si="17"/>
        <v>4.2000000000000003E-2</v>
      </c>
      <c r="BF63" s="89">
        <f>BE63+Dane_kredytowe!F$12</f>
        <v>7.2000000000000008E-2</v>
      </c>
      <c r="BG63" s="23">
        <f>BG$5+SUM(BH$5:BH62)+SUM(R$5:R62)-SUM(S$5:S62)</f>
        <v>300000</v>
      </c>
      <c r="BH63" s="22">
        <f t="shared" si="69"/>
        <v>0</v>
      </c>
      <c r="BI63" s="22">
        <f t="shared" si="67"/>
        <v>0</v>
      </c>
      <c r="BJ63" s="22">
        <f>IF(U63&lt;0,PMT(BF63/12,Dane_kredytowe!F$13-SUM(AB$5:AB63)+1,BG63),0)</f>
        <v>0</v>
      </c>
      <c r="BL63" s="23">
        <f>BL$5+SUM(BN$5:BN62)+SUM(R$5:R62)-SUM(S$5:S62)</f>
        <v>300000</v>
      </c>
      <c r="BM63" s="23">
        <f t="shared" si="18"/>
        <v>0</v>
      </c>
      <c r="BN63" s="23">
        <f t="shared" si="19"/>
        <v>0</v>
      </c>
      <c r="BO63" s="23">
        <f t="shared" si="20"/>
        <v>0</v>
      </c>
      <c r="BQ63" s="89">
        <f t="shared" si="42"/>
        <v>5.8700000000000002E-2</v>
      </c>
      <c r="BR63" s="23">
        <f>BR$5+SUM(BS$5:BS62)+SUM(R$5:R62)-SUM(S$5:S62)+SUM(BV$5:BV62)</f>
        <v>300000</v>
      </c>
      <c r="BS63" s="22">
        <f t="shared" si="49"/>
        <v>0</v>
      </c>
      <c r="BT63" s="22">
        <f t="shared" si="50"/>
        <v>0</v>
      </c>
      <c r="BU63" s="22">
        <f>IF(U63&lt;0,PMT(BQ63/12,Dane_kredytowe!F$13-SUM(AB$5:AB63)+1,BR63),0)</f>
        <v>0</v>
      </c>
      <c r="BV63" s="22">
        <f t="shared" si="43"/>
        <v>0</v>
      </c>
      <c r="BX63" s="23">
        <f>BX$5+SUM(BZ$5:BZ62)+SUM(R$5:R62)-SUM(S$5:S62)+SUM(CB$5,CB62)</f>
        <v>300000</v>
      </c>
      <c r="BY63" s="22">
        <f t="shared" si="21"/>
        <v>0</v>
      </c>
      <c r="BZ63" s="22">
        <f t="shared" si="22"/>
        <v>0</v>
      </c>
      <c r="CA63" s="22">
        <f t="shared" si="51"/>
        <v>0</v>
      </c>
      <c r="CB63" s="22">
        <f t="shared" si="52"/>
        <v>0</v>
      </c>
      <c r="CD63" s="22">
        <f>CD$5+SUM(CE$5:CE62)+SUM(R$5:R62)-SUM(S$5:S62)-SUM(CF$5:CF62)</f>
        <v>300000</v>
      </c>
      <c r="CE63" s="22">
        <f t="shared" si="44"/>
        <v>0</v>
      </c>
      <c r="CF63" s="22">
        <f t="shared" si="23"/>
        <v>0</v>
      </c>
      <c r="CG63" s="22">
        <f t="shared" si="45"/>
        <v>0</v>
      </c>
      <c r="CI63" s="89">
        <f t="shared" si="24"/>
        <v>0.80649999999999999</v>
      </c>
      <c r="CJ63" s="22">
        <f t="shared" si="25"/>
        <v>0</v>
      </c>
      <c r="CK63" s="15">
        <f t="shared" si="46"/>
        <v>0</v>
      </c>
      <c r="CM63" s="22">
        <f t="shared" si="47"/>
        <v>0</v>
      </c>
      <c r="CN63" s="15">
        <f t="shared" si="53"/>
        <v>0</v>
      </c>
    </row>
    <row r="64" spans="1:92">
      <c r="A64" s="25"/>
      <c r="B64" s="80">
        <v>39052</v>
      </c>
      <c r="C64" s="81">
        <f t="shared" si="0"/>
        <v>2.3874</v>
      </c>
      <c r="D64" s="82">
        <f t="shared" si="48"/>
        <v>2.459022</v>
      </c>
      <c r="E64" s="73">
        <f t="shared" si="54"/>
        <v>0</v>
      </c>
      <c r="F64" s="19">
        <f t="shared" si="70"/>
        <v>0</v>
      </c>
      <c r="G64" s="19">
        <f t="shared" si="56"/>
        <v>0</v>
      </c>
      <c r="H64" s="19">
        <f t="shared" si="71"/>
        <v>0</v>
      </c>
      <c r="I64" s="62"/>
      <c r="J64" s="15" t="str">
        <f t="shared" si="58"/>
        <v xml:space="preserve"> </v>
      </c>
      <c r="K64" s="15">
        <f>IF(B64&lt;=Dane_kredytowe!F$9,0,K63+1)</f>
        <v>0</v>
      </c>
      <c r="L64" s="83">
        <f t="shared" si="1"/>
        <v>1.9400000000000001E-2</v>
      </c>
      <c r="M64" s="84">
        <f>L64+Dane_kredytowe!F$12</f>
        <v>4.9399999999999999E-2</v>
      </c>
      <c r="N64" s="79">
        <f>MAX(Dane_kredytowe!F$17+SUM(AA$5:AA63)-SUM(X$5:X64)+SUM(W$5:W64),0)</f>
        <v>95134.46</v>
      </c>
      <c r="O64" s="85">
        <f>MAX(Dane_kredytowe!F$8+SUM(V$5:V63)-SUM(S$5:S64)+SUM(R$5:R63),0)</f>
        <v>300000</v>
      </c>
      <c r="P64" s="67">
        <f t="shared" si="59"/>
        <v>360</v>
      </c>
      <c r="Q64" s="127" t="str">
        <f>IF(AND(K64&gt;0,K64&lt;=Dane_kredytowe!F$16),"tak","nie")</f>
        <v>nie</v>
      </c>
      <c r="R64" s="69"/>
      <c r="S64" s="86">
        <f>IF(Dane_kredytowe!F$19=B64,O63+V63,_xlfn.XLOOKUP(B64,Dane_kredytowe!M$9:M$18,Dane_kredytowe!N$9:N$18,0))</f>
        <v>0</v>
      </c>
      <c r="T64" s="71">
        <f t="shared" si="2"/>
        <v>0</v>
      </c>
      <c r="U64" s="72">
        <f>IF(Q64="tak",T64,IF(P64-SUM(AB$5:AB64)+1&gt;0,IF(Dane_kredytowe!F$9&lt;B64,IF(SUM(AB$5:AB64)-Dane_kredytowe!F$16+1&gt;0,PMT(M64/12,P64+1-SUM(AB$5:AB64),O64),T64),0),0))</f>
        <v>0</v>
      </c>
      <c r="V64" s="72">
        <f t="shared" si="32"/>
        <v>0</v>
      </c>
      <c r="W64" s="19" t="str">
        <f t="shared" si="33"/>
        <v xml:space="preserve"> </v>
      </c>
      <c r="X64" s="19">
        <f t="shared" si="3"/>
        <v>0</v>
      </c>
      <c r="Y64" s="73">
        <f t="shared" si="4"/>
        <v>0</v>
      </c>
      <c r="Z64" s="19">
        <f>IF(P64-SUM(AB$5:AB64)+1&gt;0,IF(Dane_kredytowe!F$9&lt;B64,IF(SUM(AB$5:AB64)-Dane_kredytowe!F$16+1&gt;0,PMT(M64/12,P64+1-SUM(AB$5:AB64),N64),Y64),0),0)</f>
        <v>0</v>
      </c>
      <c r="AA64" s="19">
        <f t="shared" si="68"/>
        <v>0</v>
      </c>
      <c r="AB64" s="20" t="str">
        <f>IF(AND(Dane_kredytowe!F$9&lt;B64,SUM(AB$5:AB63)&lt;P63),1," ")</f>
        <v xml:space="preserve"> </v>
      </c>
      <c r="AD64" s="75">
        <f>IF(OR(B64&lt;Dane_kredytowe!F$15,Dane_kredytowe!F$15=""),-F64+S64,0)</f>
        <v>0</v>
      </c>
      <c r="AE64" s="75">
        <f t="shared" si="5"/>
        <v>0</v>
      </c>
      <c r="AG64" s="22">
        <f>Dane_kredytowe!F$17-SUM(AI$5:AI63)+SUM(W$42:W64)-SUM(X$42:X64)</f>
        <v>95134.46</v>
      </c>
      <c r="AH64" s="22">
        <f t="shared" si="6"/>
        <v>0</v>
      </c>
      <c r="AI64" s="22">
        <f t="shared" si="7"/>
        <v>0</v>
      </c>
      <c r="AJ64" s="22">
        <f t="shared" si="61"/>
        <v>0</v>
      </c>
      <c r="AK64" s="22">
        <f t="shared" si="8"/>
        <v>0</v>
      </c>
      <c r="AL64" s="22">
        <f>Dane_kredytowe!F$8-SUM(AN$5:AN63)+SUM(R$42:R63)-SUM(S$42:S64)</f>
        <v>300000</v>
      </c>
      <c r="AM64" s="22">
        <f t="shared" si="9"/>
        <v>0</v>
      </c>
      <c r="AN64" s="22">
        <f t="shared" si="10"/>
        <v>0</v>
      </c>
      <c r="AO64" s="22">
        <f t="shared" si="62"/>
        <v>0</v>
      </c>
      <c r="AP64" s="22">
        <f t="shared" si="63"/>
        <v>0</v>
      </c>
      <c r="AR64" s="87">
        <f t="shared" si="11"/>
        <v>39052</v>
      </c>
      <c r="AS64" s="23">
        <f>AS$5+SUM(AV$5:AV63)-SUM(X$5:X64)+SUM(W$5:W64)</f>
        <v>139056.27143784185</v>
      </c>
      <c r="AT64" s="22">
        <f t="shared" si="12"/>
        <v>0</v>
      </c>
      <c r="AU64" s="22">
        <f>IF(AB64=1,IF(Q64="tak",AT64,PMT(M64/12,P64+1-SUM(AB$5:AB64),AS64)),0)</f>
        <v>0</v>
      </c>
      <c r="AV64" s="22">
        <f t="shared" si="64"/>
        <v>0</v>
      </c>
      <c r="AW64" s="22">
        <f t="shared" si="13"/>
        <v>0</v>
      </c>
      <c r="AY64" s="23">
        <f>AY$5+SUM(BA$5:BA63)+SUM(W$5:W63)-SUM(X$5:X63)</f>
        <v>139056.27143784185</v>
      </c>
      <c r="AZ64" s="23">
        <f t="shared" si="14"/>
        <v>0</v>
      </c>
      <c r="BA64" s="23">
        <f t="shared" si="15"/>
        <v>0</v>
      </c>
      <c r="BB64" s="23">
        <f t="shared" si="65"/>
        <v>0</v>
      </c>
      <c r="BC64" s="23">
        <f t="shared" si="16"/>
        <v>0</v>
      </c>
      <c r="BE64" s="88">
        <f t="shared" si="17"/>
        <v>4.2000000000000003E-2</v>
      </c>
      <c r="BF64" s="89">
        <f>BE64+Dane_kredytowe!F$12</f>
        <v>7.2000000000000008E-2</v>
      </c>
      <c r="BG64" s="23">
        <f>BG$5+SUM(BH$5:BH63)+SUM(R$5:R63)-SUM(S$5:S63)</f>
        <v>300000</v>
      </c>
      <c r="BH64" s="22">
        <f t="shared" si="69"/>
        <v>0</v>
      </c>
      <c r="BI64" s="22">
        <f t="shared" si="67"/>
        <v>0</v>
      </c>
      <c r="BJ64" s="22">
        <f>IF(U64&lt;0,PMT(BF64/12,Dane_kredytowe!F$13-SUM(AB$5:AB64)+1,BG64),0)</f>
        <v>0</v>
      </c>
      <c r="BL64" s="23">
        <f>BL$5+SUM(BN$5:BN63)+SUM(R$5:R63)-SUM(S$5:S63)</f>
        <v>300000</v>
      </c>
      <c r="BM64" s="23">
        <f t="shared" si="18"/>
        <v>0</v>
      </c>
      <c r="BN64" s="23">
        <f t="shared" si="19"/>
        <v>0</v>
      </c>
      <c r="BO64" s="23">
        <f t="shared" si="20"/>
        <v>0</v>
      </c>
      <c r="BQ64" s="89">
        <f t="shared" si="42"/>
        <v>5.8700000000000002E-2</v>
      </c>
      <c r="BR64" s="23">
        <f>BR$5+SUM(BS$5:BS63)+SUM(R$5:R63)-SUM(S$5:S63)+SUM(BV$5:BV63)</f>
        <v>300000</v>
      </c>
      <c r="BS64" s="22">
        <f t="shared" si="49"/>
        <v>0</v>
      </c>
      <c r="BT64" s="22">
        <f t="shared" si="50"/>
        <v>0</v>
      </c>
      <c r="BU64" s="22">
        <f>IF(U64&lt;0,PMT(BQ64/12,Dane_kredytowe!F$13-SUM(AB$5:AB64)+1,BR64),0)</f>
        <v>0</v>
      </c>
      <c r="BV64" s="22">
        <f t="shared" si="43"/>
        <v>0</v>
      </c>
      <c r="BX64" s="23">
        <f>BX$5+SUM(BZ$5:BZ63)+SUM(R$5:R63)-SUM(S$5:S63)+SUM(CB$5,CB63)</f>
        <v>300000</v>
      </c>
      <c r="BY64" s="22">
        <f t="shared" si="21"/>
        <v>0</v>
      </c>
      <c r="BZ64" s="22">
        <f t="shared" si="22"/>
        <v>0</v>
      </c>
      <c r="CA64" s="22">
        <f t="shared" si="51"/>
        <v>0</v>
      </c>
      <c r="CB64" s="22">
        <f t="shared" si="52"/>
        <v>0</v>
      </c>
      <c r="CD64" s="22">
        <f>CD$5+SUM(CE$5:CE63)+SUM(R$5:R63)-SUM(S$5:S63)-SUM(CF$5:CF63)</f>
        <v>300000</v>
      </c>
      <c r="CE64" s="22">
        <f t="shared" si="44"/>
        <v>0</v>
      </c>
      <c r="CF64" s="22">
        <f t="shared" si="23"/>
        <v>0</v>
      </c>
      <c r="CG64" s="22">
        <f t="shared" si="45"/>
        <v>0</v>
      </c>
      <c r="CI64" s="89">
        <f t="shared" si="24"/>
        <v>0.81010000000000004</v>
      </c>
      <c r="CJ64" s="22">
        <f t="shared" si="25"/>
        <v>0</v>
      </c>
      <c r="CK64" s="15">
        <f t="shared" si="46"/>
        <v>0</v>
      </c>
      <c r="CM64" s="22">
        <f t="shared" si="47"/>
        <v>0</v>
      </c>
      <c r="CN64" s="15">
        <f t="shared" si="53"/>
        <v>0</v>
      </c>
    </row>
    <row r="65" spans="1:92">
      <c r="A65" s="25">
        <v>2007</v>
      </c>
      <c r="B65" s="80">
        <v>39083</v>
      </c>
      <c r="C65" s="81">
        <f t="shared" si="0"/>
        <v>2.4015</v>
      </c>
      <c r="D65" s="82">
        <f t="shared" si="48"/>
        <v>2.4735450000000001</v>
      </c>
      <c r="E65" s="73">
        <f t="shared" si="54"/>
        <v>0</v>
      </c>
      <c r="F65" s="19">
        <f t="shared" si="70"/>
        <v>0</v>
      </c>
      <c r="G65" s="19">
        <f t="shared" si="56"/>
        <v>0</v>
      </c>
      <c r="H65" s="19">
        <f t="shared" si="71"/>
        <v>0</v>
      </c>
      <c r="I65" s="62"/>
      <c r="J65" s="15" t="str">
        <f t="shared" si="58"/>
        <v xml:space="preserve"> </v>
      </c>
      <c r="K65" s="15">
        <f>IF(B65&lt;=Dane_kredytowe!F$9,0,K64+1)</f>
        <v>0</v>
      </c>
      <c r="L65" s="83">
        <f t="shared" si="1"/>
        <v>2.1000000000000001E-2</v>
      </c>
      <c r="M65" s="84">
        <f>L65+Dane_kredytowe!F$12</f>
        <v>5.1000000000000004E-2</v>
      </c>
      <c r="N65" s="79">
        <f>MAX(Dane_kredytowe!F$17+SUM(AA$5:AA64)-SUM(X$5:X65)+SUM(W$5:W65),0)</f>
        <v>95134.46</v>
      </c>
      <c r="O65" s="85">
        <f>MAX(Dane_kredytowe!F$8+SUM(V$5:V64)-SUM(S$5:S65)+SUM(R$5:R64),0)</f>
        <v>300000</v>
      </c>
      <c r="P65" s="67">
        <f t="shared" si="59"/>
        <v>360</v>
      </c>
      <c r="Q65" s="127" t="str">
        <f>IF(AND(K65&gt;0,K65&lt;=Dane_kredytowe!F$16),"tak","nie")</f>
        <v>nie</v>
      </c>
      <c r="R65" s="69"/>
      <c r="S65" s="86">
        <f>IF(Dane_kredytowe!F$19=B65,O64+V64,_xlfn.XLOOKUP(B65,Dane_kredytowe!M$9:M$18,Dane_kredytowe!N$9:N$18,0))</f>
        <v>0</v>
      </c>
      <c r="T65" s="71">
        <f t="shared" si="2"/>
        <v>0</v>
      </c>
      <c r="U65" s="72">
        <f>IF(Q65="tak",T65,IF(P65-SUM(AB$5:AB65)+1&gt;0,IF(Dane_kredytowe!F$9&lt;B65,IF(SUM(AB$5:AB65)-Dane_kredytowe!F$16+1&gt;0,PMT(M65/12,P65+1-SUM(AB$5:AB65),O65),T65),0),0))</f>
        <v>0</v>
      </c>
      <c r="V65" s="72">
        <f t="shared" si="32"/>
        <v>0</v>
      </c>
      <c r="W65" s="19" t="str">
        <f t="shared" si="33"/>
        <v xml:space="preserve"> </v>
      </c>
      <c r="X65" s="19">
        <f t="shared" si="3"/>
        <v>0</v>
      </c>
      <c r="Y65" s="73">
        <f t="shared" si="4"/>
        <v>0</v>
      </c>
      <c r="Z65" s="19">
        <f>IF(P65-SUM(AB$5:AB65)+1&gt;0,IF(Dane_kredytowe!F$9&lt;B65,IF(SUM(AB$5:AB65)-Dane_kredytowe!F$16+1&gt;0,PMT(M65/12,P65+1-SUM(AB$5:AB65),N65),Y65),0),0)</f>
        <v>0</v>
      </c>
      <c r="AA65" s="19">
        <f t="shared" si="68"/>
        <v>0</v>
      </c>
      <c r="AB65" s="20" t="str">
        <f>IF(AND(Dane_kredytowe!F$9&lt;B65,SUM(AB$5:AB64)&lt;P64),1," ")</f>
        <v xml:space="preserve"> </v>
      </c>
      <c r="AD65" s="75">
        <f>IF(OR(B65&lt;Dane_kredytowe!F$15,Dane_kredytowe!F$15=""),-F65+S65,0)</f>
        <v>0</v>
      </c>
      <c r="AE65" s="75">
        <f t="shared" si="5"/>
        <v>0</v>
      </c>
      <c r="AG65" s="22">
        <f>Dane_kredytowe!F$17-SUM(AI$5:AI64)+SUM(W$42:W65)-SUM(X$42:X65)</f>
        <v>95134.46</v>
      </c>
      <c r="AH65" s="22">
        <f t="shared" si="6"/>
        <v>0</v>
      </c>
      <c r="AI65" s="22">
        <f t="shared" si="7"/>
        <v>0</v>
      </c>
      <c r="AJ65" s="22">
        <f t="shared" si="61"/>
        <v>0</v>
      </c>
      <c r="AK65" s="22">
        <f t="shared" si="8"/>
        <v>0</v>
      </c>
      <c r="AL65" s="22">
        <f>Dane_kredytowe!F$8-SUM(AN$5:AN64)+SUM(R$42:R64)-SUM(S$42:S65)</f>
        <v>300000</v>
      </c>
      <c r="AM65" s="22">
        <f t="shared" si="9"/>
        <v>0</v>
      </c>
      <c r="AN65" s="22">
        <f t="shared" si="10"/>
        <v>0</v>
      </c>
      <c r="AO65" s="22">
        <f t="shared" si="62"/>
        <v>0</v>
      </c>
      <c r="AP65" s="22">
        <f t="shared" si="63"/>
        <v>0</v>
      </c>
      <c r="AR65" s="87">
        <f t="shared" si="11"/>
        <v>39083</v>
      </c>
      <c r="AS65" s="23">
        <f>AS$5+SUM(AV$5:AV64)-SUM(X$5:X65)+SUM(W$5:W65)</f>
        <v>139056.27143784185</v>
      </c>
      <c r="AT65" s="22">
        <f t="shared" si="12"/>
        <v>0</v>
      </c>
      <c r="AU65" s="22">
        <f>IF(AB65=1,IF(Q65="tak",AT65,PMT(M65/12,P65+1-SUM(AB$5:AB65),AS65)),0)</f>
        <v>0</v>
      </c>
      <c r="AV65" s="22">
        <f t="shared" si="64"/>
        <v>0</v>
      </c>
      <c r="AW65" s="22">
        <f t="shared" si="13"/>
        <v>0</v>
      </c>
      <c r="AY65" s="23">
        <f>AY$5+SUM(BA$5:BA64)+SUM(W$5:W64)-SUM(X$5:X64)</f>
        <v>139056.27143784185</v>
      </c>
      <c r="AZ65" s="23">
        <f t="shared" si="14"/>
        <v>0</v>
      </c>
      <c r="BA65" s="23">
        <f t="shared" si="15"/>
        <v>0</v>
      </c>
      <c r="BB65" s="23">
        <f t="shared" si="65"/>
        <v>0</v>
      </c>
      <c r="BC65" s="23">
        <f t="shared" si="16"/>
        <v>0</v>
      </c>
      <c r="BE65" s="88">
        <f t="shared" si="17"/>
        <v>4.2000000000000003E-2</v>
      </c>
      <c r="BF65" s="89">
        <f>BE65+Dane_kredytowe!F$12</f>
        <v>7.2000000000000008E-2</v>
      </c>
      <c r="BG65" s="23">
        <f>BG$5+SUM(BH$5:BH64)+SUM(R$5:R64)-SUM(S$5:S64)</f>
        <v>300000</v>
      </c>
      <c r="BH65" s="22">
        <f t="shared" si="69"/>
        <v>0</v>
      </c>
      <c r="BI65" s="22">
        <f t="shared" si="67"/>
        <v>0</v>
      </c>
      <c r="BJ65" s="22">
        <f>IF(U65&lt;0,PMT(BF65/12,Dane_kredytowe!F$13-SUM(AB$5:AB65)+1,BG65),0)</f>
        <v>0</v>
      </c>
      <c r="BL65" s="23">
        <f>BL$5+SUM(BN$5:BN64)+SUM(R$5:R64)-SUM(S$5:S64)</f>
        <v>300000</v>
      </c>
      <c r="BM65" s="23">
        <f t="shared" si="18"/>
        <v>0</v>
      </c>
      <c r="BN65" s="23">
        <f t="shared" si="19"/>
        <v>0</v>
      </c>
      <c r="BO65" s="23">
        <f t="shared" si="20"/>
        <v>0</v>
      </c>
      <c r="BQ65" s="89">
        <f t="shared" si="42"/>
        <v>5.8700000000000002E-2</v>
      </c>
      <c r="BR65" s="23">
        <f>BR$5+SUM(BS$5:BS64)+SUM(R$5:R64)-SUM(S$5:S64)+SUM(BV$5:BV64)</f>
        <v>300000</v>
      </c>
      <c r="BS65" s="22">
        <f t="shared" si="49"/>
        <v>0</v>
      </c>
      <c r="BT65" s="22">
        <f t="shared" si="50"/>
        <v>0</v>
      </c>
      <c r="BU65" s="22">
        <f>IF(U65&lt;0,PMT(BQ65/12,Dane_kredytowe!F$13-SUM(AB$5:AB65)+1,BR65),0)</f>
        <v>0</v>
      </c>
      <c r="BV65" s="22">
        <f t="shared" si="43"/>
        <v>0</v>
      </c>
      <c r="BX65" s="23">
        <f>BX$5+SUM(BZ$5:BZ64)+SUM(R$5:R64)-SUM(S$5:S64)+SUM(CB$5,CB64)</f>
        <v>300000</v>
      </c>
      <c r="BY65" s="22">
        <f t="shared" si="21"/>
        <v>0</v>
      </c>
      <c r="BZ65" s="22">
        <f t="shared" si="22"/>
        <v>0</v>
      </c>
      <c r="CA65" s="22">
        <f t="shared" si="51"/>
        <v>0</v>
      </c>
      <c r="CB65" s="22">
        <f t="shared" si="52"/>
        <v>0</v>
      </c>
      <c r="CD65" s="22">
        <f>CD$5+SUM(CE$5:CE64)+SUM(R$5:R64)-SUM(S$5:S64)-SUM(CF$5:CF64)</f>
        <v>300000</v>
      </c>
      <c r="CE65" s="22">
        <f t="shared" si="44"/>
        <v>0</v>
      </c>
      <c r="CF65" s="22">
        <f t="shared" si="23"/>
        <v>0</v>
      </c>
      <c r="CG65" s="22">
        <f t="shared" si="45"/>
        <v>0</v>
      </c>
      <c r="CI65" s="89">
        <f t="shared" si="24"/>
        <v>0.80289999999999995</v>
      </c>
      <c r="CJ65" s="22">
        <f t="shared" si="25"/>
        <v>0</v>
      </c>
      <c r="CK65" s="15">
        <f t="shared" si="46"/>
        <v>0</v>
      </c>
      <c r="CM65" s="22">
        <f t="shared" si="47"/>
        <v>0</v>
      </c>
      <c r="CN65" s="15">
        <f t="shared" si="53"/>
        <v>0</v>
      </c>
    </row>
    <row r="66" spans="1:92">
      <c r="A66" s="25"/>
      <c r="B66" s="80">
        <v>39114</v>
      </c>
      <c r="C66" s="81">
        <f t="shared" si="0"/>
        <v>2.4018000000000002</v>
      </c>
      <c r="D66" s="82">
        <f t="shared" si="48"/>
        <v>2.4738540000000002</v>
      </c>
      <c r="E66" s="73">
        <f t="shared" si="54"/>
        <v>0</v>
      </c>
      <c r="F66" s="19">
        <f t="shared" si="70"/>
        <v>0</v>
      </c>
      <c r="G66" s="19">
        <f t="shared" si="56"/>
        <v>0</v>
      </c>
      <c r="H66" s="19">
        <f t="shared" si="71"/>
        <v>0</v>
      </c>
      <c r="I66" s="62"/>
      <c r="J66" s="15" t="str">
        <f t="shared" si="58"/>
        <v xml:space="preserve"> </v>
      </c>
      <c r="K66" s="15">
        <f>IF(B66&lt;=Dane_kredytowe!F$9,0,K65+1)</f>
        <v>0</v>
      </c>
      <c r="L66" s="83">
        <f t="shared" si="1"/>
        <v>2.1000000000000001E-2</v>
      </c>
      <c r="M66" s="84">
        <f>L66+Dane_kredytowe!F$12</f>
        <v>5.1000000000000004E-2</v>
      </c>
      <c r="N66" s="79">
        <f>MAX(Dane_kredytowe!F$17+SUM(AA$5:AA65)-SUM(X$5:X66)+SUM(W$5:W66),0)</f>
        <v>95134.46</v>
      </c>
      <c r="O66" s="85">
        <f>MAX(Dane_kredytowe!F$8+SUM(V$5:V65)-SUM(S$5:S66)+SUM(R$5:R65),0)</f>
        <v>300000</v>
      </c>
      <c r="P66" s="67">
        <f t="shared" si="59"/>
        <v>360</v>
      </c>
      <c r="Q66" s="127" t="str">
        <f>IF(AND(K66&gt;0,K66&lt;=Dane_kredytowe!F$16),"tak","nie")</f>
        <v>nie</v>
      </c>
      <c r="R66" s="69"/>
      <c r="S66" s="86">
        <f>IF(Dane_kredytowe!F$19=B66,O65+V65,_xlfn.XLOOKUP(B66,Dane_kredytowe!M$9:M$18,Dane_kredytowe!N$9:N$18,0))</f>
        <v>0</v>
      </c>
      <c r="T66" s="71">
        <f t="shared" si="2"/>
        <v>0</v>
      </c>
      <c r="U66" s="72">
        <f>IF(Q66="tak",T66,IF(P66-SUM(AB$5:AB66)+1&gt;0,IF(Dane_kredytowe!F$9&lt;B66,IF(SUM(AB$5:AB66)-Dane_kredytowe!F$16+1&gt;0,PMT(M66/12,P66+1-SUM(AB$5:AB66),O66),T66),0),0))</f>
        <v>0</v>
      </c>
      <c r="V66" s="72">
        <f t="shared" si="32"/>
        <v>0</v>
      </c>
      <c r="W66" s="19" t="str">
        <f t="shared" si="33"/>
        <v xml:space="preserve"> </v>
      </c>
      <c r="X66" s="19">
        <f t="shared" si="3"/>
        <v>0</v>
      </c>
      <c r="Y66" s="73">
        <f t="shared" si="4"/>
        <v>0</v>
      </c>
      <c r="Z66" s="19">
        <f>IF(P66-SUM(AB$5:AB66)+1&gt;0,IF(Dane_kredytowe!F$9&lt;B66,IF(SUM(AB$5:AB66)-Dane_kredytowe!F$16+1&gt;0,PMT(M66/12,P66+1-SUM(AB$5:AB66),N66),Y66),0),0)</f>
        <v>0</v>
      </c>
      <c r="AA66" s="19">
        <f t="shared" si="68"/>
        <v>0</v>
      </c>
      <c r="AB66" s="20" t="str">
        <f>IF(AND(Dane_kredytowe!F$9&lt;B66,SUM(AB$5:AB65)&lt;P65),1," ")</f>
        <v xml:space="preserve"> </v>
      </c>
      <c r="AD66" s="75">
        <f>IF(OR(B66&lt;Dane_kredytowe!F$15,Dane_kredytowe!F$15=""),-F66+S66,0)</f>
        <v>0</v>
      </c>
      <c r="AE66" s="75">
        <f t="shared" si="5"/>
        <v>0</v>
      </c>
      <c r="AG66" s="22">
        <f>Dane_kredytowe!F$17-SUM(AI$5:AI65)+SUM(W$42:W66)-SUM(X$42:X66)</f>
        <v>95134.46</v>
      </c>
      <c r="AH66" s="22">
        <f t="shared" si="6"/>
        <v>0</v>
      </c>
      <c r="AI66" s="22">
        <f t="shared" si="7"/>
        <v>0</v>
      </c>
      <c r="AJ66" s="22">
        <f t="shared" si="61"/>
        <v>0</v>
      </c>
      <c r="AK66" s="22">
        <f t="shared" si="8"/>
        <v>0</v>
      </c>
      <c r="AL66" s="22">
        <f>Dane_kredytowe!F$8-SUM(AN$5:AN65)+SUM(R$42:R65)-SUM(S$42:S66)</f>
        <v>300000</v>
      </c>
      <c r="AM66" s="22">
        <f t="shared" si="9"/>
        <v>0</v>
      </c>
      <c r="AN66" s="22">
        <f t="shared" si="10"/>
        <v>0</v>
      </c>
      <c r="AO66" s="22">
        <f t="shared" si="62"/>
        <v>0</v>
      </c>
      <c r="AP66" s="22">
        <f t="shared" si="63"/>
        <v>0</v>
      </c>
      <c r="AR66" s="87">
        <f t="shared" si="11"/>
        <v>39114</v>
      </c>
      <c r="AS66" s="23">
        <f>AS$5+SUM(AV$5:AV65)-SUM(X$5:X66)+SUM(W$5:W66)</f>
        <v>139056.27143784185</v>
      </c>
      <c r="AT66" s="22">
        <f t="shared" si="12"/>
        <v>0</v>
      </c>
      <c r="AU66" s="22">
        <f>IF(AB66=1,IF(Q66="tak",AT66,PMT(M66/12,P66+1-SUM(AB$5:AB66),AS66)),0)</f>
        <v>0</v>
      </c>
      <c r="AV66" s="22">
        <f t="shared" si="64"/>
        <v>0</v>
      </c>
      <c r="AW66" s="22">
        <f t="shared" si="13"/>
        <v>0</v>
      </c>
      <c r="AY66" s="23">
        <f>AY$5+SUM(BA$5:BA65)+SUM(W$5:W65)-SUM(X$5:X65)</f>
        <v>139056.27143784185</v>
      </c>
      <c r="AZ66" s="23">
        <f t="shared" si="14"/>
        <v>0</v>
      </c>
      <c r="BA66" s="23">
        <f t="shared" si="15"/>
        <v>0</v>
      </c>
      <c r="BB66" s="23">
        <f t="shared" si="65"/>
        <v>0</v>
      </c>
      <c r="BC66" s="23">
        <f t="shared" si="16"/>
        <v>0</v>
      </c>
      <c r="BE66" s="88">
        <f t="shared" si="17"/>
        <v>4.2000000000000003E-2</v>
      </c>
      <c r="BF66" s="89">
        <f>BE66+Dane_kredytowe!F$12</f>
        <v>7.2000000000000008E-2</v>
      </c>
      <c r="BG66" s="23">
        <f>BG$5+SUM(BH$5:BH65)+SUM(R$5:R65)-SUM(S$5:S65)</f>
        <v>300000</v>
      </c>
      <c r="BH66" s="22">
        <f t="shared" si="69"/>
        <v>0</v>
      </c>
      <c r="BI66" s="22">
        <f t="shared" si="67"/>
        <v>0</v>
      </c>
      <c r="BJ66" s="22">
        <f>IF(U66&lt;0,PMT(BF66/12,Dane_kredytowe!F$13-SUM(AB$5:AB66)+1,BG66),0)</f>
        <v>0</v>
      </c>
      <c r="BL66" s="23">
        <f>BL$5+SUM(BN$5:BN65)+SUM(R$5:R65)-SUM(S$5:S65)</f>
        <v>300000</v>
      </c>
      <c r="BM66" s="23">
        <f t="shared" si="18"/>
        <v>0</v>
      </c>
      <c r="BN66" s="23">
        <f t="shared" si="19"/>
        <v>0</v>
      </c>
      <c r="BO66" s="23">
        <f t="shared" si="20"/>
        <v>0</v>
      </c>
      <c r="BQ66" s="89">
        <f t="shared" si="42"/>
        <v>5.8700000000000002E-2</v>
      </c>
      <c r="BR66" s="23">
        <f>BR$5+SUM(BS$5:BS65)+SUM(R$5:R65)-SUM(S$5:S65)+SUM(BV$5:BV65)</f>
        <v>300000</v>
      </c>
      <c r="BS66" s="22">
        <f t="shared" si="49"/>
        <v>0</v>
      </c>
      <c r="BT66" s="22">
        <f t="shared" si="50"/>
        <v>0</v>
      </c>
      <c r="BU66" s="22">
        <f>IF(U66&lt;0,PMT(BQ66/12,Dane_kredytowe!F$13-SUM(AB$5:AB66)+1,BR66),0)</f>
        <v>0</v>
      </c>
      <c r="BV66" s="22">
        <f t="shared" si="43"/>
        <v>0</v>
      </c>
      <c r="BX66" s="23">
        <f>BX$5+SUM(BZ$5:BZ65)+SUM(R$5:R65)-SUM(S$5:S65)+SUM(CB$5,CB65)</f>
        <v>300000</v>
      </c>
      <c r="BY66" s="22">
        <f t="shared" si="21"/>
        <v>0</v>
      </c>
      <c r="BZ66" s="22">
        <f t="shared" si="22"/>
        <v>0</v>
      </c>
      <c r="CA66" s="22">
        <f t="shared" si="51"/>
        <v>0</v>
      </c>
      <c r="CB66" s="22">
        <f t="shared" si="52"/>
        <v>0</v>
      </c>
      <c r="CD66" s="22">
        <f>CD$5+SUM(CE$5:CE65)+SUM(R$5:R65)-SUM(S$5:S65)-SUM(CF$5:CF65)</f>
        <v>300000</v>
      </c>
      <c r="CE66" s="22">
        <f t="shared" si="44"/>
        <v>0</v>
      </c>
      <c r="CF66" s="22">
        <f t="shared" si="23"/>
        <v>0</v>
      </c>
      <c r="CG66" s="22">
        <f t="shared" si="45"/>
        <v>0</v>
      </c>
      <c r="CI66" s="89">
        <f t="shared" si="24"/>
        <v>0.79749999999999999</v>
      </c>
      <c r="CJ66" s="22">
        <f t="shared" si="25"/>
        <v>0</v>
      </c>
      <c r="CK66" s="15">
        <f t="shared" si="46"/>
        <v>0</v>
      </c>
      <c r="CM66" s="22">
        <f t="shared" si="47"/>
        <v>0</v>
      </c>
      <c r="CN66" s="15">
        <f t="shared" si="53"/>
        <v>0</v>
      </c>
    </row>
    <row r="67" spans="1:92">
      <c r="A67" s="25"/>
      <c r="B67" s="80">
        <v>39142</v>
      </c>
      <c r="C67" s="81">
        <f t="shared" si="0"/>
        <v>2.4100999999999999</v>
      </c>
      <c r="D67" s="82">
        <f t="shared" si="48"/>
        <v>2.4824030000000001</v>
      </c>
      <c r="E67" s="73">
        <f t="shared" si="54"/>
        <v>0</v>
      </c>
      <c r="F67" s="19">
        <f t="shared" si="70"/>
        <v>0</v>
      </c>
      <c r="G67" s="19">
        <f t="shared" si="56"/>
        <v>0</v>
      </c>
      <c r="H67" s="19">
        <f t="shared" si="71"/>
        <v>0</v>
      </c>
      <c r="I67" s="62"/>
      <c r="J67" s="15" t="str">
        <f t="shared" si="58"/>
        <v xml:space="preserve"> </v>
      </c>
      <c r="K67" s="15">
        <f>IF(B67&lt;=Dane_kredytowe!F$9,0,K66+1)</f>
        <v>0</v>
      </c>
      <c r="L67" s="83">
        <f t="shared" si="1"/>
        <v>2.23E-2</v>
      </c>
      <c r="M67" s="84">
        <f>L67+Dane_kredytowe!F$12</f>
        <v>5.2299999999999999E-2</v>
      </c>
      <c r="N67" s="79">
        <f>MAX(Dane_kredytowe!F$17+SUM(AA$5:AA66)-SUM(X$5:X67)+SUM(W$5:W67),0)</f>
        <v>95134.46</v>
      </c>
      <c r="O67" s="85">
        <f>MAX(Dane_kredytowe!F$8+SUM(V$5:V66)-SUM(S$5:S67)+SUM(R$5:R66),0)</f>
        <v>300000</v>
      </c>
      <c r="P67" s="67">
        <f t="shared" si="59"/>
        <v>360</v>
      </c>
      <c r="Q67" s="127" t="str">
        <f>IF(AND(K67&gt;0,K67&lt;=Dane_kredytowe!F$16),"tak","nie")</f>
        <v>nie</v>
      </c>
      <c r="R67" s="69"/>
      <c r="S67" s="86">
        <f>IF(Dane_kredytowe!F$19=B67,O66+V66,_xlfn.XLOOKUP(B67,Dane_kredytowe!M$9:M$18,Dane_kredytowe!N$9:N$18,0))</f>
        <v>0</v>
      </c>
      <c r="T67" s="71">
        <f t="shared" si="2"/>
        <v>0</v>
      </c>
      <c r="U67" s="72">
        <f>IF(Q67="tak",T67,IF(P67-SUM(AB$5:AB67)+1&gt;0,IF(Dane_kredytowe!F$9&lt;B67,IF(SUM(AB$5:AB67)-Dane_kredytowe!F$16+1&gt;0,PMT(M67/12,P67+1-SUM(AB$5:AB67),O67),T67),0),0))</f>
        <v>0</v>
      </c>
      <c r="V67" s="72">
        <f t="shared" si="32"/>
        <v>0</v>
      </c>
      <c r="W67" s="19" t="str">
        <f t="shared" si="33"/>
        <v xml:space="preserve"> </v>
      </c>
      <c r="X67" s="19">
        <f t="shared" si="3"/>
        <v>0</v>
      </c>
      <c r="Y67" s="73">
        <f t="shared" si="4"/>
        <v>0</v>
      </c>
      <c r="Z67" s="19">
        <f>IF(P67-SUM(AB$5:AB67)+1&gt;0,IF(Dane_kredytowe!F$9&lt;B67,IF(SUM(AB$5:AB67)-Dane_kredytowe!F$16+1&gt;0,PMT(M67/12,P67+1-SUM(AB$5:AB67),N67),Y67),0),0)</f>
        <v>0</v>
      </c>
      <c r="AA67" s="19">
        <f t="shared" si="68"/>
        <v>0</v>
      </c>
      <c r="AB67" s="20" t="str">
        <f>IF(AND(Dane_kredytowe!F$9&lt;B67,SUM(AB$5:AB66)&lt;P66),1," ")</f>
        <v xml:space="preserve"> </v>
      </c>
      <c r="AD67" s="75">
        <f>IF(OR(B67&lt;Dane_kredytowe!F$15,Dane_kredytowe!F$15=""),-F67+S67,0)</f>
        <v>0</v>
      </c>
      <c r="AE67" s="75">
        <f t="shared" si="5"/>
        <v>0</v>
      </c>
      <c r="AG67" s="22">
        <f>Dane_kredytowe!F$17-SUM(AI$5:AI66)+SUM(W$42:W67)-SUM(X$42:X67)</f>
        <v>95134.46</v>
      </c>
      <c r="AH67" s="22">
        <f t="shared" si="6"/>
        <v>0</v>
      </c>
      <c r="AI67" s="22">
        <f t="shared" si="7"/>
        <v>0</v>
      </c>
      <c r="AJ67" s="22">
        <f t="shared" si="61"/>
        <v>0</v>
      </c>
      <c r="AK67" s="22">
        <f t="shared" si="8"/>
        <v>0</v>
      </c>
      <c r="AL67" s="22">
        <f>Dane_kredytowe!F$8-SUM(AN$5:AN66)+SUM(R$42:R66)-SUM(S$42:S67)</f>
        <v>300000</v>
      </c>
      <c r="AM67" s="22">
        <f t="shared" si="9"/>
        <v>0</v>
      </c>
      <c r="AN67" s="22">
        <f t="shared" si="10"/>
        <v>0</v>
      </c>
      <c r="AO67" s="22">
        <f t="shared" si="62"/>
        <v>0</v>
      </c>
      <c r="AP67" s="22">
        <f t="shared" si="63"/>
        <v>0</v>
      </c>
      <c r="AR67" s="87">
        <f t="shared" si="11"/>
        <v>39142</v>
      </c>
      <c r="AS67" s="23">
        <f>AS$5+SUM(AV$5:AV66)-SUM(X$5:X67)+SUM(W$5:W67)</f>
        <v>139056.27143784185</v>
      </c>
      <c r="AT67" s="22">
        <f t="shared" si="12"/>
        <v>0</v>
      </c>
      <c r="AU67" s="22">
        <f>IF(AB67=1,IF(Q67="tak",AT67,PMT(M67/12,P67+1-SUM(AB$5:AB67),AS67)),0)</f>
        <v>0</v>
      </c>
      <c r="AV67" s="22">
        <f t="shared" si="64"/>
        <v>0</v>
      </c>
      <c r="AW67" s="22">
        <f t="shared" si="13"/>
        <v>0</v>
      </c>
      <c r="AY67" s="23">
        <f>AY$5+SUM(BA$5:BA66)+SUM(W$5:W66)-SUM(X$5:X66)</f>
        <v>139056.27143784185</v>
      </c>
      <c r="AZ67" s="23">
        <f t="shared" si="14"/>
        <v>0</v>
      </c>
      <c r="BA67" s="23">
        <f t="shared" si="15"/>
        <v>0</v>
      </c>
      <c r="BB67" s="23">
        <f t="shared" si="65"/>
        <v>0</v>
      </c>
      <c r="BC67" s="23">
        <f t="shared" si="16"/>
        <v>0</v>
      </c>
      <c r="BE67" s="88">
        <f t="shared" si="17"/>
        <v>4.2200000000000001E-2</v>
      </c>
      <c r="BF67" s="89">
        <f>BE67+Dane_kredytowe!F$12</f>
        <v>7.22E-2</v>
      </c>
      <c r="BG67" s="23">
        <f>BG$5+SUM(BH$5:BH66)+SUM(R$5:R66)-SUM(S$5:S66)</f>
        <v>300000</v>
      </c>
      <c r="BH67" s="22">
        <f t="shared" si="69"/>
        <v>0</v>
      </c>
      <c r="BI67" s="22">
        <f t="shared" si="67"/>
        <v>0</v>
      </c>
      <c r="BJ67" s="22">
        <f>IF(U67&lt;0,PMT(BF67/12,Dane_kredytowe!F$13-SUM(AB$5:AB67)+1,BG67),0)</f>
        <v>0</v>
      </c>
      <c r="BL67" s="23">
        <f>BL$5+SUM(BN$5:BN66)+SUM(R$5:R66)-SUM(S$5:S66)</f>
        <v>300000</v>
      </c>
      <c r="BM67" s="23">
        <f t="shared" si="18"/>
        <v>0</v>
      </c>
      <c r="BN67" s="23">
        <f t="shared" si="19"/>
        <v>0</v>
      </c>
      <c r="BO67" s="23">
        <f t="shared" si="20"/>
        <v>0</v>
      </c>
      <c r="BQ67" s="89">
        <f t="shared" si="42"/>
        <v>5.8900000000000001E-2</v>
      </c>
      <c r="BR67" s="23">
        <f>BR$5+SUM(BS$5:BS66)+SUM(R$5:R66)-SUM(S$5:S66)+SUM(BV$5:BV66)</f>
        <v>300000</v>
      </c>
      <c r="BS67" s="22">
        <f t="shared" si="49"/>
        <v>0</v>
      </c>
      <c r="BT67" s="22">
        <f t="shared" si="50"/>
        <v>0</v>
      </c>
      <c r="BU67" s="22">
        <f>IF(U67&lt;0,PMT(BQ67/12,Dane_kredytowe!F$13-SUM(AB$5:AB67)+1,BR67),0)</f>
        <v>0</v>
      </c>
      <c r="BV67" s="22">
        <f t="shared" si="43"/>
        <v>0</v>
      </c>
      <c r="BX67" s="23">
        <f>BX$5+SUM(BZ$5:BZ66)+SUM(R$5:R66)-SUM(S$5:S66)+SUM(CB$5,CB66)</f>
        <v>300000</v>
      </c>
      <c r="BY67" s="22">
        <f t="shared" si="21"/>
        <v>0</v>
      </c>
      <c r="BZ67" s="22">
        <f t="shared" si="22"/>
        <v>0</v>
      </c>
      <c r="CA67" s="22">
        <f t="shared" si="51"/>
        <v>0</v>
      </c>
      <c r="CB67" s="22">
        <f t="shared" si="52"/>
        <v>0</v>
      </c>
      <c r="CD67" s="22">
        <f>CD$5+SUM(CE$5:CE66)+SUM(R$5:R66)-SUM(S$5:S66)-SUM(CF$5:CF66)</f>
        <v>300000</v>
      </c>
      <c r="CE67" s="22">
        <f t="shared" si="44"/>
        <v>0</v>
      </c>
      <c r="CF67" s="22">
        <f t="shared" si="23"/>
        <v>0</v>
      </c>
      <c r="CG67" s="22">
        <f t="shared" si="45"/>
        <v>0</v>
      </c>
      <c r="CI67" s="89">
        <f t="shared" si="24"/>
        <v>0.78859999999999997</v>
      </c>
      <c r="CJ67" s="22">
        <f t="shared" si="25"/>
        <v>0</v>
      </c>
      <c r="CK67" s="15">
        <f t="shared" si="46"/>
        <v>0</v>
      </c>
      <c r="CM67" s="22">
        <f t="shared" si="47"/>
        <v>0</v>
      </c>
      <c r="CN67" s="15">
        <f t="shared" si="53"/>
        <v>0</v>
      </c>
    </row>
    <row r="68" spans="1:92">
      <c r="A68" s="25"/>
      <c r="B68" s="80">
        <v>39173</v>
      </c>
      <c r="C68" s="81">
        <f t="shared" si="0"/>
        <v>2.3331</v>
      </c>
      <c r="D68" s="82">
        <f t="shared" si="48"/>
        <v>2.4030930000000001</v>
      </c>
      <c r="E68" s="73">
        <f t="shared" si="54"/>
        <v>0</v>
      </c>
      <c r="F68" s="19">
        <f t="shared" si="70"/>
        <v>0</v>
      </c>
      <c r="G68" s="19">
        <f t="shared" si="56"/>
        <v>0</v>
      </c>
      <c r="H68" s="19">
        <f t="shared" si="71"/>
        <v>0</v>
      </c>
      <c r="I68" s="62"/>
      <c r="J68" s="15" t="str">
        <f t="shared" si="58"/>
        <v xml:space="preserve"> </v>
      </c>
      <c r="K68" s="15">
        <f>IF(B68&lt;=Dane_kredytowe!F$9,0,K67+1)</f>
        <v>0</v>
      </c>
      <c r="L68" s="83">
        <f t="shared" si="1"/>
        <v>2.23E-2</v>
      </c>
      <c r="M68" s="84">
        <f>L68+Dane_kredytowe!F$12</f>
        <v>5.2299999999999999E-2</v>
      </c>
      <c r="N68" s="79">
        <f>MAX(Dane_kredytowe!F$17+SUM(AA$5:AA67)-SUM(X$5:X68)+SUM(W$5:W68),0)</f>
        <v>95134.46</v>
      </c>
      <c r="O68" s="85">
        <f>MAX(Dane_kredytowe!F$8+SUM(V$5:V67)-SUM(S$5:S68)+SUM(R$5:R67),0)</f>
        <v>300000</v>
      </c>
      <c r="P68" s="67">
        <f t="shared" si="59"/>
        <v>360</v>
      </c>
      <c r="Q68" s="127" t="str">
        <f>IF(AND(K68&gt;0,K68&lt;=Dane_kredytowe!F$16),"tak","nie")</f>
        <v>nie</v>
      </c>
      <c r="R68" s="69"/>
      <c r="S68" s="86">
        <f>IF(Dane_kredytowe!F$19=B68,O67+V67,_xlfn.XLOOKUP(B68,Dane_kredytowe!M$9:M$18,Dane_kredytowe!N$9:N$18,0))</f>
        <v>0</v>
      </c>
      <c r="T68" s="71">
        <f t="shared" si="2"/>
        <v>0</v>
      </c>
      <c r="U68" s="72">
        <f>IF(Q68="tak",T68,IF(P68-SUM(AB$5:AB68)+1&gt;0,IF(Dane_kredytowe!F$9&lt;B68,IF(SUM(AB$5:AB68)-Dane_kredytowe!F$16+1&gt;0,PMT(M68/12,P68+1-SUM(AB$5:AB68),O68),T68),0),0))</f>
        <v>0</v>
      </c>
      <c r="V68" s="72">
        <f t="shared" si="32"/>
        <v>0</v>
      </c>
      <c r="W68" s="19" t="str">
        <f t="shared" si="33"/>
        <v xml:space="preserve"> </v>
      </c>
      <c r="X68" s="19">
        <f t="shared" si="3"/>
        <v>0</v>
      </c>
      <c r="Y68" s="73">
        <f t="shared" si="4"/>
        <v>0</v>
      </c>
      <c r="Z68" s="19">
        <f>IF(P68-SUM(AB$5:AB68)+1&gt;0,IF(Dane_kredytowe!F$9&lt;B68,IF(SUM(AB$5:AB68)-Dane_kredytowe!F$16+1&gt;0,PMT(M68/12,P68+1-SUM(AB$5:AB68),N68),Y68),0),0)</f>
        <v>0</v>
      </c>
      <c r="AA68" s="19">
        <f t="shared" si="68"/>
        <v>0</v>
      </c>
      <c r="AB68" s="20" t="str">
        <f>IF(AND(Dane_kredytowe!F$9&lt;B68,SUM(AB$5:AB67)&lt;P67),1," ")</f>
        <v xml:space="preserve"> </v>
      </c>
      <c r="AD68" s="75">
        <f>IF(OR(B68&lt;Dane_kredytowe!F$15,Dane_kredytowe!F$15=""),-F68+S68,0)</f>
        <v>0</v>
      </c>
      <c r="AE68" s="75">
        <f t="shared" si="5"/>
        <v>0</v>
      </c>
      <c r="AG68" s="22">
        <f>Dane_kredytowe!F$17-SUM(AI$5:AI67)+SUM(W$42:W68)-SUM(X$42:X68)</f>
        <v>95134.46</v>
      </c>
      <c r="AH68" s="22">
        <f t="shared" si="6"/>
        <v>0</v>
      </c>
      <c r="AI68" s="22">
        <f t="shared" si="7"/>
        <v>0</v>
      </c>
      <c r="AJ68" s="22">
        <f t="shared" si="61"/>
        <v>0</v>
      </c>
      <c r="AK68" s="22">
        <f t="shared" si="8"/>
        <v>0</v>
      </c>
      <c r="AL68" s="22">
        <f>Dane_kredytowe!F$8-SUM(AN$5:AN67)+SUM(R$42:R67)-SUM(S$42:S68)</f>
        <v>300000</v>
      </c>
      <c r="AM68" s="22">
        <f t="shared" si="9"/>
        <v>0</v>
      </c>
      <c r="AN68" s="22">
        <f t="shared" si="10"/>
        <v>0</v>
      </c>
      <c r="AO68" s="22">
        <f t="shared" si="62"/>
        <v>0</v>
      </c>
      <c r="AP68" s="22">
        <f t="shared" si="63"/>
        <v>0</v>
      </c>
      <c r="AR68" s="87">
        <f t="shared" si="11"/>
        <v>39173</v>
      </c>
      <c r="AS68" s="23">
        <f>AS$5+SUM(AV$5:AV67)-SUM(X$5:X68)+SUM(W$5:W68)</f>
        <v>139056.27143784185</v>
      </c>
      <c r="AT68" s="22">
        <f t="shared" si="12"/>
        <v>0</v>
      </c>
      <c r="AU68" s="22">
        <f>IF(AB68=1,IF(Q68="tak",AT68,PMT(M68/12,P68+1-SUM(AB$5:AB68),AS68)),0)</f>
        <v>0</v>
      </c>
      <c r="AV68" s="22">
        <f t="shared" si="64"/>
        <v>0</v>
      </c>
      <c r="AW68" s="22">
        <f t="shared" si="13"/>
        <v>0</v>
      </c>
      <c r="AY68" s="23">
        <f>AY$5+SUM(BA$5:BA67)+SUM(W$5:W67)-SUM(X$5:X67)</f>
        <v>139056.27143784185</v>
      </c>
      <c r="AZ68" s="23">
        <f t="shared" si="14"/>
        <v>0</v>
      </c>
      <c r="BA68" s="23">
        <f t="shared" si="15"/>
        <v>0</v>
      </c>
      <c r="BB68" s="23">
        <f t="shared" si="65"/>
        <v>0</v>
      </c>
      <c r="BC68" s="23">
        <f t="shared" si="16"/>
        <v>0</v>
      </c>
      <c r="BE68" s="88">
        <f t="shared" si="17"/>
        <v>4.3200000000000002E-2</v>
      </c>
      <c r="BF68" s="89">
        <f>BE68+Dane_kredytowe!F$12</f>
        <v>7.3200000000000001E-2</v>
      </c>
      <c r="BG68" s="23">
        <f>BG$5+SUM(BH$5:BH67)+SUM(R$5:R67)-SUM(S$5:S67)</f>
        <v>300000</v>
      </c>
      <c r="BH68" s="22">
        <f t="shared" si="69"/>
        <v>0</v>
      </c>
      <c r="BI68" s="22">
        <f t="shared" si="67"/>
        <v>0</v>
      </c>
      <c r="BJ68" s="22">
        <f>IF(U68&lt;0,PMT(BF68/12,Dane_kredytowe!F$13-SUM(AB$5:AB68)+1,BG68),0)</f>
        <v>0</v>
      </c>
      <c r="BL68" s="23">
        <f>BL$5+SUM(BN$5:BN67)+SUM(R$5:R67)-SUM(S$5:S67)</f>
        <v>300000</v>
      </c>
      <c r="BM68" s="23">
        <f t="shared" si="18"/>
        <v>0</v>
      </c>
      <c r="BN68" s="23">
        <f t="shared" si="19"/>
        <v>0</v>
      </c>
      <c r="BO68" s="23">
        <f t="shared" si="20"/>
        <v>0</v>
      </c>
      <c r="BQ68" s="89">
        <f t="shared" si="42"/>
        <v>5.9900000000000002E-2</v>
      </c>
      <c r="BR68" s="23">
        <f>BR$5+SUM(BS$5:BS67)+SUM(R$5:R67)-SUM(S$5:S67)+SUM(BV$5:BV67)</f>
        <v>300000</v>
      </c>
      <c r="BS68" s="22">
        <f t="shared" si="49"/>
        <v>0</v>
      </c>
      <c r="BT68" s="22">
        <f t="shared" si="50"/>
        <v>0</v>
      </c>
      <c r="BU68" s="22">
        <f>IF(U68&lt;0,PMT(BQ68/12,Dane_kredytowe!F$13-SUM(AB$5:AB68)+1,BR68),0)</f>
        <v>0</v>
      </c>
      <c r="BV68" s="22">
        <f t="shared" si="43"/>
        <v>0</v>
      </c>
      <c r="BX68" s="23">
        <f>BX$5+SUM(BZ$5:BZ67)+SUM(R$5:R67)-SUM(S$5:S67)+SUM(CB$5,CB67)</f>
        <v>300000</v>
      </c>
      <c r="BY68" s="22">
        <f t="shared" si="21"/>
        <v>0</v>
      </c>
      <c r="BZ68" s="22">
        <f t="shared" si="22"/>
        <v>0</v>
      </c>
      <c r="CA68" s="22">
        <f t="shared" si="51"/>
        <v>0</v>
      </c>
      <c r="CB68" s="22">
        <f t="shared" si="52"/>
        <v>0</v>
      </c>
      <c r="CD68" s="22">
        <f>CD$5+SUM(CE$5:CE67)+SUM(R$5:R67)-SUM(S$5:S67)-SUM(CF$5:CF67)</f>
        <v>300000</v>
      </c>
      <c r="CE68" s="22">
        <f t="shared" si="44"/>
        <v>0</v>
      </c>
      <c r="CF68" s="22">
        <f t="shared" si="23"/>
        <v>0</v>
      </c>
      <c r="CG68" s="22">
        <f t="shared" si="45"/>
        <v>0</v>
      </c>
      <c r="CI68" s="89">
        <f t="shared" si="24"/>
        <v>0.77969999999999995</v>
      </c>
      <c r="CJ68" s="22">
        <f t="shared" si="25"/>
        <v>0</v>
      </c>
      <c r="CK68" s="15">
        <f t="shared" si="46"/>
        <v>0</v>
      </c>
      <c r="CM68" s="22">
        <f t="shared" si="47"/>
        <v>0</v>
      </c>
      <c r="CN68" s="15">
        <f t="shared" si="53"/>
        <v>0</v>
      </c>
    </row>
    <row r="69" spans="1:92">
      <c r="A69" s="25"/>
      <c r="B69" s="80">
        <v>39203</v>
      </c>
      <c r="C69" s="81">
        <f t="shared" ref="C69:C132" si="72">VLOOKUP(B69,Kursy,C$2)</f>
        <v>2.2928000000000002</v>
      </c>
      <c r="D69" s="82">
        <f t="shared" si="48"/>
        <v>2.3615840000000001</v>
      </c>
      <c r="E69" s="73">
        <f t="shared" si="54"/>
        <v>0</v>
      </c>
      <c r="F69" s="19">
        <f t="shared" si="70"/>
        <v>0</v>
      </c>
      <c r="G69" s="19">
        <f t="shared" si="56"/>
        <v>0</v>
      </c>
      <c r="H69" s="19">
        <f t="shared" si="71"/>
        <v>0</v>
      </c>
      <c r="I69" s="62"/>
      <c r="J69" s="15" t="str">
        <f t="shared" si="58"/>
        <v xml:space="preserve"> </v>
      </c>
      <c r="K69" s="15">
        <f>IF(B69&lt;=Dane_kredytowe!F$9,0,K68+1)</f>
        <v>0</v>
      </c>
      <c r="L69" s="83">
        <f t="shared" ref="L69:L132" si="73">VLOOKUP(B69,Oproc,C$2)</f>
        <v>2.35E-2</v>
      </c>
      <c r="M69" s="84">
        <f>L69+Dane_kredytowe!F$12</f>
        <v>5.3499999999999999E-2</v>
      </c>
      <c r="N69" s="79">
        <f>MAX(Dane_kredytowe!F$17+SUM(AA$5:AA68)-SUM(X$5:X69)+SUM(W$5:W69),0)</f>
        <v>95134.46</v>
      </c>
      <c r="O69" s="85">
        <f>MAX(Dane_kredytowe!F$8+SUM(V$5:V68)-SUM(S$5:S69)+SUM(R$5:R68),0)</f>
        <v>300000</v>
      </c>
      <c r="P69" s="67">
        <f t="shared" si="59"/>
        <v>360</v>
      </c>
      <c r="Q69" s="127" t="str">
        <f>IF(AND(K69&gt;0,K69&lt;=Dane_kredytowe!F$16),"tak","nie")</f>
        <v>nie</v>
      </c>
      <c r="R69" s="69"/>
      <c r="S69" s="86">
        <f>IF(Dane_kredytowe!F$19=B69,O68+V68,_xlfn.XLOOKUP(B69,Dane_kredytowe!M$9:M$18,Dane_kredytowe!N$9:N$18,0))</f>
        <v>0</v>
      </c>
      <c r="T69" s="71">
        <f t="shared" ref="T69:T132" si="74">IF(AB69=1,-O69*M69/12,0)</f>
        <v>0</v>
      </c>
      <c r="U69" s="72">
        <f>IF(Q69="tak",T69,IF(P69-SUM(AB$5:AB69)+1&gt;0,IF(Dane_kredytowe!F$9&lt;B69,IF(SUM(AB$5:AB69)-Dane_kredytowe!F$16+1&gt;0,PMT(M69/12,P69+1-SUM(AB$5:AB69),O69),T69),0),0))</f>
        <v>0</v>
      </c>
      <c r="V69" s="72">
        <f t="shared" si="32"/>
        <v>0</v>
      </c>
      <c r="W69" s="19" t="str">
        <f t="shared" si="33"/>
        <v xml:space="preserve"> </v>
      </c>
      <c r="X69" s="19">
        <f t="shared" ref="X69:X77" si="75">IF(S69&gt;0,S69/D69,0)</f>
        <v>0</v>
      </c>
      <c r="Y69" s="73">
        <f t="shared" ref="Y69:Y132" si="76">IF(AB69=1,-N69*M69/12,0)</f>
        <v>0</v>
      </c>
      <c r="Z69" s="19">
        <f>IF(P69-SUM(AB$5:AB69)+1&gt;0,IF(Dane_kredytowe!F$9&lt;B69,IF(SUM(AB$5:AB69)-Dane_kredytowe!F$16+1&gt;0,PMT(M69/12,P69+1-SUM(AB$5:AB69),N69),Y69),0),0)</f>
        <v>0</v>
      </c>
      <c r="AA69" s="19">
        <f t="shared" si="68"/>
        <v>0</v>
      </c>
      <c r="AB69" s="20" t="str">
        <f>IF(AND(Dane_kredytowe!F$9&lt;B69,SUM(AB$5:AB68)&lt;P68),1," ")</f>
        <v xml:space="preserve"> </v>
      </c>
      <c r="AD69" s="75">
        <f>IF(OR(B69&lt;Dane_kredytowe!F$15,Dane_kredytowe!F$15=""),-F69+S69,0)</f>
        <v>0</v>
      </c>
      <c r="AE69" s="75">
        <f t="shared" ref="AE69:AE132" si="77">IF(AD69=0,-E69+X69,0)</f>
        <v>0</v>
      </c>
      <c r="AG69" s="22">
        <f>Dane_kredytowe!F$17-SUM(AI$5:AI68)+SUM(W$42:W69)-SUM(X$42:X69)</f>
        <v>95134.46</v>
      </c>
      <c r="AH69" s="22">
        <f t="shared" ref="AH69:AH132" si="78">IF(AB69=1,ROUND(AG69*M69/12,2),0)</f>
        <v>0</v>
      </c>
      <c r="AI69" s="22">
        <f t="shared" ref="AI69:AI132" si="79">IF(Q69="tak",0,IF(AB69=1,ROUND(AG69/(P69-K69+1),2),0))</f>
        <v>0</v>
      </c>
      <c r="AJ69" s="22">
        <f t="shared" si="61"/>
        <v>0</v>
      </c>
      <c r="AK69" s="22">
        <f t="shared" ref="AK69:AK132" si="80">ROUND(AJ69*D69,2)</f>
        <v>0</v>
      </c>
      <c r="AL69" s="22">
        <f>Dane_kredytowe!F$8-SUM(AN$5:AN68)+SUM(R$42:R68)-SUM(S$42:S69)</f>
        <v>300000</v>
      </c>
      <c r="AM69" s="22">
        <f t="shared" ref="AM69:AM132" si="81">IF(AB69=1,ROUND(AL69*M69/12,2),0)</f>
        <v>0</v>
      </c>
      <c r="AN69" s="22">
        <f t="shared" ref="AN69:AN132" si="82">IF(Q69="tak",0,IF(AB69=1,ROUND(AL69/(P69-K69+1),2),0))</f>
        <v>0</v>
      </c>
      <c r="AO69" s="22">
        <f t="shared" si="62"/>
        <v>0</v>
      </c>
      <c r="AP69" s="22">
        <f t="shared" si="63"/>
        <v>0</v>
      </c>
      <c r="AR69" s="87">
        <f t="shared" ref="AR69:AR132" si="83">B69</f>
        <v>39203</v>
      </c>
      <c r="AS69" s="23">
        <f>AS$5+SUM(AV$5:AV68)-SUM(X$5:X69)+SUM(W$5:W69)</f>
        <v>139056.27143784185</v>
      </c>
      <c r="AT69" s="22">
        <f t="shared" ref="AT69:AT132" si="84">IF(AB69=1,-AS69*M69/12,0)</f>
        <v>0</v>
      </c>
      <c r="AU69" s="22">
        <f>IF(AB69=1,IF(Q69="tak",AT69,PMT(M69/12,P69+1-SUM(AB$5:AB69),AS69)),0)</f>
        <v>0</v>
      </c>
      <c r="AV69" s="22">
        <f t="shared" si="64"/>
        <v>0</v>
      </c>
      <c r="AW69" s="22">
        <f t="shared" ref="AW69:AW132" si="85">AU69*C69</f>
        <v>0</v>
      </c>
      <c r="AY69" s="23">
        <f>AY$5+SUM(BA$5:BA68)+SUM(W$5:W68)-SUM(X$5:X68)</f>
        <v>139056.27143784185</v>
      </c>
      <c r="AZ69" s="23">
        <f t="shared" ref="AZ69:AZ132" si="86">IF(AB69=1,-AS69*M69/12,0)</f>
        <v>0</v>
      </c>
      <c r="BA69" s="23">
        <f t="shared" ref="BA69:BA132" si="87">IF(AB69=1,IF(Q69="tak",0,ROUND(-AY69/(P69-K69+1),2)),0)</f>
        <v>0</v>
      </c>
      <c r="BB69" s="23">
        <f t="shared" si="65"/>
        <v>0</v>
      </c>
      <c r="BC69" s="23">
        <f t="shared" ref="BC69:BC132" si="88">BB69*C69</f>
        <v>0</v>
      </c>
      <c r="BE69" s="88">
        <f t="shared" ref="BE69:BE132" si="89">VLOOKUP(B69,Oproc,5)</f>
        <v>4.4400000000000002E-2</v>
      </c>
      <c r="BF69" s="89">
        <f>BE69+Dane_kredytowe!F$12</f>
        <v>7.4399999999999994E-2</v>
      </c>
      <c r="BG69" s="23">
        <f>BG$5+SUM(BH$5:BH68)+SUM(R$5:R68)-SUM(S$5:S68)</f>
        <v>300000</v>
      </c>
      <c r="BH69" s="22">
        <f t="shared" si="69"/>
        <v>0</v>
      </c>
      <c r="BI69" s="22">
        <f t="shared" si="67"/>
        <v>0</v>
      </c>
      <c r="BJ69" s="22">
        <f>IF(U69&lt;0,PMT(BF69/12,Dane_kredytowe!F$13-SUM(AB$5:AB69)+1,BG69),0)</f>
        <v>0</v>
      </c>
      <c r="BL69" s="23">
        <f>BL$5+SUM(BN$5:BN68)+SUM(R$5:R68)-SUM(S$5:S68)</f>
        <v>300000</v>
      </c>
      <c r="BM69" s="23">
        <f t="shared" ref="BM69:BM119" si="90">IF(AB69=1,-BF69*BL69/12,0)</f>
        <v>0</v>
      </c>
      <c r="BN69" s="23">
        <f t="shared" ref="BN69:BN132" si="91">IF(AB69=1,-BL69/(P69-K69+1),0)</f>
        <v>0</v>
      </c>
      <c r="BO69" s="23">
        <f t="shared" ref="BO69:BO119" si="92">BN69+BM69</f>
        <v>0</v>
      </c>
      <c r="BQ69" s="89">
        <f t="shared" ref="BQ69:BQ132" si="93">BE69+$BQ$4</f>
        <v>6.1100000000000002E-2</v>
      </c>
      <c r="BR69" s="23">
        <f>BR$5+SUM(BS$5:BS68)+SUM(R$5:R68)-SUM(S$5:S68)+SUM(BV$5:BV68)</f>
        <v>300000</v>
      </c>
      <c r="BS69" s="22">
        <f t="shared" si="49"/>
        <v>0</v>
      </c>
      <c r="BT69" s="22">
        <f t="shared" si="50"/>
        <v>0</v>
      </c>
      <c r="BU69" s="22">
        <f>IF(U69&lt;0,PMT(BQ69/12,Dane_kredytowe!F$13-SUM(AB$5:AB69)+1,BR69),0)</f>
        <v>0</v>
      </c>
      <c r="BV69" s="22">
        <f t="shared" si="43"/>
        <v>0</v>
      </c>
      <c r="BX69" s="23">
        <f>BX$5+SUM(BZ$5:BZ68)+SUM(R$5:R68)-SUM(S$5:S68)+SUM(CB$5,CB68)</f>
        <v>300000</v>
      </c>
      <c r="BY69" s="22">
        <f t="shared" ref="BY69:BY132" si="94">IF(AB69=1,-BQ69*BX69/12,0)</f>
        <v>0</v>
      </c>
      <c r="BZ69" s="22">
        <f t="shared" ref="BZ69:BZ132" si="95">IF(AB69=1,-BX69/(P69-K69+1),0)</f>
        <v>0</v>
      </c>
      <c r="CA69" s="22">
        <f t="shared" si="51"/>
        <v>0</v>
      </c>
      <c r="CB69" s="22">
        <f t="shared" si="52"/>
        <v>0</v>
      </c>
      <c r="CD69" s="22">
        <f>CD$5+SUM(CE$5:CE68)+SUM(R$5:R68)-SUM(S$5:S68)-SUM(CF$5:CF68)</f>
        <v>300000</v>
      </c>
      <c r="CE69" s="22">
        <f t="shared" si="44"/>
        <v>0</v>
      </c>
      <c r="CF69" s="22">
        <f t="shared" ref="CF69:CF132" si="96">-F69</f>
        <v>0</v>
      </c>
      <c r="CG69" s="22">
        <f t="shared" si="45"/>
        <v>0</v>
      </c>
      <c r="CI69" s="89">
        <f t="shared" ref="CI69:CI132" si="97">VLOOKUP(B69,Inflacja,2)</f>
        <v>0.77080000000000004</v>
      </c>
      <c r="CJ69" s="22">
        <f t="shared" ref="CJ69:CJ132" si="98">ROUND(CI69*(F69-S69),2)</f>
        <v>0</v>
      </c>
      <c r="CK69" s="15">
        <f t="shared" si="46"/>
        <v>0</v>
      </c>
      <c r="CM69" s="22">
        <f t="shared" si="47"/>
        <v>0</v>
      </c>
      <c r="CN69" s="15">
        <f t="shared" si="53"/>
        <v>0</v>
      </c>
    </row>
    <row r="70" spans="1:92">
      <c r="A70" s="25"/>
      <c r="B70" s="80">
        <v>39234</v>
      </c>
      <c r="C70" s="81">
        <f t="shared" si="72"/>
        <v>2.3022</v>
      </c>
      <c r="D70" s="82">
        <f t="shared" si="48"/>
        <v>2.3712659999999999</v>
      </c>
      <c r="E70" s="73">
        <f t="shared" si="54"/>
        <v>0</v>
      </c>
      <c r="F70" s="19">
        <f t="shared" si="70"/>
        <v>0</v>
      </c>
      <c r="G70" s="19">
        <f t="shared" si="56"/>
        <v>0</v>
      </c>
      <c r="H70" s="19">
        <f t="shared" si="71"/>
        <v>0</v>
      </c>
      <c r="I70" s="62"/>
      <c r="J70" s="15" t="str">
        <f t="shared" si="58"/>
        <v xml:space="preserve"> </v>
      </c>
      <c r="K70" s="15">
        <f>IF(B70&lt;=Dane_kredytowe!F$9,0,K69+1)</f>
        <v>0</v>
      </c>
      <c r="L70" s="83">
        <f t="shared" si="73"/>
        <v>2.47E-2</v>
      </c>
      <c r="M70" s="84">
        <f>L70+Dane_kredytowe!F$12</f>
        <v>5.4699999999999999E-2</v>
      </c>
      <c r="N70" s="79">
        <f>MAX(Dane_kredytowe!F$17+SUM(AA$5:AA69)-SUM(X$5:X70)+SUM(W$5:W70),0)</f>
        <v>95134.46</v>
      </c>
      <c r="O70" s="85">
        <f>MAX(Dane_kredytowe!F$8+SUM(V$5:V69)-SUM(S$5:S70)+SUM(R$5:R69),0)</f>
        <v>300000</v>
      </c>
      <c r="P70" s="67">
        <f t="shared" si="59"/>
        <v>360</v>
      </c>
      <c r="Q70" s="127" t="str">
        <f>IF(AND(K70&gt;0,K70&lt;=Dane_kredytowe!F$16),"tak","nie")</f>
        <v>nie</v>
      </c>
      <c r="R70" s="69"/>
      <c r="S70" s="86">
        <f>IF(Dane_kredytowe!F$19=B70,O69+V69,_xlfn.XLOOKUP(B70,Dane_kredytowe!M$9:M$18,Dane_kredytowe!N$9:N$18,0))</f>
        <v>0</v>
      </c>
      <c r="T70" s="71">
        <f t="shared" si="74"/>
        <v>0</v>
      </c>
      <c r="U70" s="72">
        <f>IF(Q70="tak",T70,IF(P70-SUM(AB$5:AB70)+1&gt;0,IF(Dane_kredytowe!F$9&lt;B70,IF(SUM(AB$5:AB70)-Dane_kredytowe!F$16+1&gt;0,PMT(M70/12,P70+1-SUM(AB$5:AB70),O70),T70),0),0))</f>
        <v>0</v>
      </c>
      <c r="V70" s="72">
        <f t="shared" ref="V70:V133" si="99">U70-T70</f>
        <v>0</v>
      </c>
      <c r="W70" s="19" t="str">
        <f t="shared" ref="W70:W133" si="100">IF(R70&gt;0,R70/(C70*(1-$J$1))," ")</f>
        <v xml:space="preserve"> </v>
      </c>
      <c r="X70" s="19">
        <f t="shared" si="75"/>
        <v>0</v>
      </c>
      <c r="Y70" s="73">
        <f t="shared" si="76"/>
        <v>0</v>
      </c>
      <c r="Z70" s="19">
        <f>IF(P70-SUM(AB$5:AB70)+1&gt;0,IF(Dane_kredytowe!F$9&lt;B70,IF(SUM(AB$5:AB70)-Dane_kredytowe!F$16+1&gt;0,PMT(M70/12,P70+1-SUM(AB$5:AB70),N70),Y70),0),0)</f>
        <v>0</v>
      </c>
      <c r="AA70" s="19">
        <f t="shared" si="68"/>
        <v>0</v>
      </c>
      <c r="AB70" s="20" t="str">
        <f>IF(AND(Dane_kredytowe!F$9&lt;B70,SUM(AB$5:AB69)&lt;P69),1," ")</f>
        <v xml:space="preserve"> </v>
      </c>
      <c r="AD70" s="75">
        <f>IF(OR(B70&lt;Dane_kredytowe!F$15,Dane_kredytowe!F$15=""),-F70+S70,0)</f>
        <v>0</v>
      </c>
      <c r="AE70" s="75">
        <f t="shared" si="77"/>
        <v>0</v>
      </c>
      <c r="AG70" s="22">
        <f>Dane_kredytowe!F$17-SUM(AI$5:AI69)+SUM(W$42:W70)-SUM(X$42:X70)</f>
        <v>95134.46</v>
      </c>
      <c r="AH70" s="22">
        <f t="shared" si="78"/>
        <v>0</v>
      </c>
      <c r="AI70" s="22">
        <f t="shared" si="79"/>
        <v>0</v>
      </c>
      <c r="AJ70" s="22">
        <f t="shared" si="61"/>
        <v>0</v>
      </c>
      <c r="AK70" s="22">
        <f t="shared" si="80"/>
        <v>0</v>
      </c>
      <c r="AL70" s="22">
        <f>Dane_kredytowe!F$8-SUM(AN$5:AN69)+SUM(R$42:R69)-SUM(S$42:S70)</f>
        <v>300000</v>
      </c>
      <c r="AM70" s="22">
        <f t="shared" si="81"/>
        <v>0</v>
      </c>
      <c r="AN70" s="22">
        <f t="shared" si="82"/>
        <v>0</v>
      </c>
      <c r="AO70" s="22">
        <f t="shared" si="62"/>
        <v>0</v>
      </c>
      <c r="AP70" s="22">
        <f t="shared" si="63"/>
        <v>0</v>
      </c>
      <c r="AR70" s="87">
        <f t="shared" si="83"/>
        <v>39234</v>
      </c>
      <c r="AS70" s="23">
        <f>AS$5+SUM(AV$5:AV69)-SUM(X$5:X70)+SUM(W$5:W70)</f>
        <v>139056.27143784185</v>
      </c>
      <c r="AT70" s="22">
        <f t="shared" si="84"/>
        <v>0</v>
      </c>
      <c r="AU70" s="22">
        <f>IF(AB70=1,IF(Q70="tak",AT70,PMT(M70/12,P70+1-SUM(AB$5:AB70),AS70)),0)</f>
        <v>0</v>
      </c>
      <c r="AV70" s="22">
        <f t="shared" si="64"/>
        <v>0</v>
      </c>
      <c r="AW70" s="22">
        <f t="shared" si="85"/>
        <v>0</v>
      </c>
      <c r="AY70" s="23">
        <f>AY$5+SUM(BA$5:BA69)+SUM(W$5:W69)-SUM(X$5:X69)</f>
        <v>139056.27143784185</v>
      </c>
      <c r="AZ70" s="23">
        <f t="shared" si="86"/>
        <v>0</v>
      </c>
      <c r="BA70" s="23">
        <f t="shared" si="87"/>
        <v>0</v>
      </c>
      <c r="BB70" s="23">
        <f t="shared" si="65"/>
        <v>0</v>
      </c>
      <c r="BC70" s="23">
        <f t="shared" si="88"/>
        <v>0</v>
      </c>
      <c r="BE70" s="88">
        <f t="shared" si="89"/>
        <v>4.5199999999999997E-2</v>
      </c>
      <c r="BF70" s="89">
        <f>BE70+Dane_kredytowe!F$12</f>
        <v>7.5199999999999989E-2</v>
      </c>
      <c r="BG70" s="23">
        <f>BG$5+SUM(BH$5:BH69)+SUM(R$5:R69)-SUM(S$5:S69)</f>
        <v>300000</v>
      </c>
      <c r="BH70" s="22">
        <f t="shared" si="69"/>
        <v>0</v>
      </c>
      <c r="BI70" s="22">
        <f t="shared" si="67"/>
        <v>0</v>
      </c>
      <c r="BJ70" s="22">
        <f>IF(U70&lt;0,PMT(BF70/12,Dane_kredytowe!F$13-SUM(AB$5:AB70)+1,BG70),0)</f>
        <v>0</v>
      </c>
      <c r="BL70" s="23">
        <f>BL$5+SUM(BN$5:BN69)+SUM(R$5:R69)-SUM(S$5:S69)</f>
        <v>300000</v>
      </c>
      <c r="BM70" s="23">
        <f t="shared" si="90"/>
        <v>0</v>
      </c>
      <c r="BN70" s="23">
        <f t="shared" si="91"/>
        <v>0</v>
      </c>
      <c r="BO70" s="23">
        <f t="shared" si="92"/>
        <v>0</v>
      </c>
      <c r="BQ70" s="89">
        <f t="shared" si="93"/>
        <v>6.1899999999999997E-2</v>
      </c>
      <c r="BR70" s="23">
        <f>BR$5+SUM(BS$5:BS69)+SUM(R$5:R69)-SUM(S$5:S69)+SUM(BV$5:BV69)</f>
        <v>300000</v>
      </c>
      <c r="BS70" s="22">
        <f t="shared" si="49"/>
        <v>0</v>
      </c>
      <c r="BT70" s="22">
        <f t="shared" si="50"/>
        <v>0</v>
      </c>
      <c r="BU70" s="22">
        <f>IF(U70&lt;0,PMT(BQ70/12,Dane_kredytowe!F$13-SUM(AB$5:AB70)+1,BR70),0)</f>
        <v>0</v>
      </c>
      <c r="BV70" s="22">
        <f t="shared" ref="BV70:BV133" si="101">F70-BU70</f>
        <v>0</v>
      </c>
      <c r="BX70" s="23">
        <f>BX$5+SUM(BZ$5:BZ69)+SUM(R$5:R69)-SUM(S$5:S69)+SUM(CB$5,CB69)</f>
        <v>300000</v>
      </c>
      <c r="BY70" s="22">
        <f t="shared" si="94"/>
        <v>0</v>
      </c>
      <c r="BZ70" s="22">
        <f t="shared" si="95"/>
        <v>0</v>
      </c>
      <c r="CA70" s="22">
        <f t="shared" si="51"/>
        <v>0</v>
      </c>
      <c r="CB70" s="22">
        <f t="shared" si="52"/>
        <v>0</v>
      </c>
      <c r="CD70" s="22">
        <f>CD$5+SUM(CE$5:CE69)+SUM(R$5:R69)-SUM(S$5:S69)-SUM(CF$5:CF69)</f>
        <v>300000</v>
      </c>
      <c r="CE70" s="22">
        <f t="shared" ref="CE70:CE133" si="102">IF(AB70=1,BQ70*BX70/12,0)</f>
        <v>0</v>
      </c>
      <c r="CF70" s="22">
        <f t="shared" si="96"/>
        <v>0</v>
      </c>
      <c r="CG70" s="22">
        <f t="shared" ref="CG70:CG133" si="103">CF70-CE70</f>
        <v>0</v>
      </c>
      <c r="CI70" s="89">
        <f t="shared" si="97"/>
        <v>0.77080000000000004</v>
      </c>
      <c r="CJ70" s="22">
        <f t="shared" si="98"/>
        <v>0</v>
      </c>
      <c r="CK70" s="15">
        <f t="shared" ref="CK70:CK133" si="104">ROUND(R70*CI70,2)</f>
        <v>0</v>
      </c>
      <c r="CM70" s="22">
        <f t="shared" ref="CM70:CM133" si="105">F70+S70+CM69</f>
        <v>0</v>
      </c>
      <c r="CN70" s="15">
        <f t="shared" si="53"/>
        <v>0</v>
      </c>
    </row>
    <row r="71" spans="1:92">
      <c r="A71" s="25"/>
      <c r="B71" s="80">
        <v>39264</v>
      </c>
      <c r="C71" s="81">
        <f t="shared" si="72"/>
        <v>2.2738</v>
      </c>
      <c r="D71" s="82">
        <f t="shared" ref="D71:D134" si="106">C71*(1+$J$1)</f>
        <v>2.3420140000000003</v>
      </c>
      <c r="E71" s="73">
        <f t="shared" si="54"/>
        <v>0</v>
      </c>
      <c r="F71" s="19">
        <f t="shared" si="70"/>
        <v>0</v>
      </c>
      <c r="G71" s="19">
        <f t="shared" si="56"/>
        <v>0</v>
      </c>
      <c r="H71" s="19">
        <f t="shared" si="71"/>
        <v>0</v>
      </c>
      <c r="I71" s="62"/>
      <c r="J71" s="15" t="str">
        <f t="shared" si="58"/>
        <v xml:space="preserve"> </v>
      </c>
      <c r="K71" s="15">
        <f>IF(B71&lt;=Dane_kredytowe!F$9,0,K70+1)</f>
        <v>0</v>
      </c>
      <c r="L71" s="83">
        <f t="shared" si="73"/>
        <v>2.7E-2</v>
      </c>
      <c r="M71" s="84">
        <f>L71+Dane_kredytowe!F$12</f>
        <v>5.6999999999999995E-2</v>
      </c>
      <c r="N71" s="79">
        <f>MAX(Dane_kredytowe!F$17+SUM(AA$5:AA70)-SUM(X$5:X71)+SUM(W$5:W71),0)</f>
        <v>95134.46</v>
      </c>
      <c r="O71" s="85">
        <f>MAX(Dane_kredytowe!F$8+SUM(V$5:V70)-SUM(S$5:S71)+SUM(R$5:R70),0)</f>
        <v>300000</v>
      </c>
      <c r="P71" s="67">
        <f t="shared" si="59"/>
        <v>360</v>
      </c>
      <c r="Q71" s="127" t="str">
        <f>IF(AND(K71&gt;0,K71&lt;=Dane_kredytowe!F$16),"tak","nie")</f>
        <v>nie</v>
      </c>
      <c r="R71" s="69"/>
      <c r="S71" s="86">
        <f>IF(Dane_kredytowe!F$19=B71,O70+V70,_xlfn.XLOOKUP(B71,Dane_kredytowe!M$9:M$18,Dane_kredytowe!N$9:N$18,0))</f>
        <v>0</v>
      </c>
      <c r="T71" s="71">
        <f t="shared" si="74"/>
        <v>0</v>
      </c>
      <c r="U71" s="72">
        <f>IF(Q71="tak",T71,IF(P71-SUM(AB$5:AB71)+1&gt;0,IF(Dane_kredytowe!F$9&lt;B71,IF(SUM(AB$5:AB71)-Dane_kredytowe!F$16+1&gt;0,PMT(M71/12,P71+1-SUM(AB$5:AB71),O71),T71),0),0))</f>
        <v>0</v>
      </c>
      <c r="V71" s="72">
        <f t="shared" si="99"/>
        <v>0</v>
      </c>
      <c r="W71" s="19" t="str">
        <f t="shared" si="100"/>
        <v xml:space="preserve"> </v>
      </c>
      <c r="X71" s="19">
        <f t="shared" si="75"/>
        <v>0</v>
      </c>
      <c r="Y71" s="73">
        <f t="shared" si="76"/>
        <v>0</v>
      </c>
      <c r="Z71" s="19">
        <f>IF(P71-SUM(AB$5:AB71)+1&gt;0,IF(Dane_kredytowe!F$9&lt;B71,IF(SUM(AB$5:AB71)-Dane_kredytowe!F$16+1&gt;0,PMT(M71/12,P71+1-SUM(AB$5:AB71),N71),Y71),0),0)</f>
        <v>0</v>
      </c>
      <c r="AA71" s="19">
        <f t="shared" si="68"/>
        <v>0</v>
      </c>
      <c r="AB71" s="20" t="str">
        <f>IF(AND(Dane_kredytowe!F$9&lt;B71,SUM(AB$5:AB70)&lt;P70),1," ")</f>
        <v xml:space="preserve"> </v>
      </c>
      <c r="AD71" s="75">
        <f>IF(OR(B71&lt;Dane_kredytowe!F$15,Dane_kredytowe!F$15=""),-F71+S71,0)</f>
        <v>0</v>
      </c>
      <c r="AE71" s="75">
        <f t="shared" si="77"/>
        <v>0</v>
      </c>
      <c r="AG71" s="22">
        <f>Dane_kredytowe!F$17-SUM(AI$5:AI70)+SUM(W$42:W71)-SUM(X$42:X71)</f>
        <v>95134.46</v>
      </c>
      <c r="AH71" s="22">
        <f t="shared" si="78"/>
        <v>0</v>
      </c>
      <c r="AI71" s="22">
        <f t="shared" si="79"/>
        <v>0</v>
      </c>
      <c r="AJ71" s="22">
        <f t="shared" si="61"/>
        <v>0</v>
      </c>
      <c r="AK71" s="22">
        <f t="shared" si="80"/>
        <v>0</v>
      </c>
      <c r="AL71" s="22">
        <f>Dane_kredytowe!F$8-SUM(AN$5:AN70)+SUM(R$42:R70)-SUM(S$42:S71)</f>
        <v>300000</v>
      </c>
      <c r="AM71" s="22">
        <f t="shared" si="81"/>
        <v>0</v>
      </c>
      <c r="AN71" s="22">
        <f t="shared" si="82"/>
        <v>0</v>
      </c>
      <c r="AO71" s="22">
        <f t="shared" si="62"/>
        <v>0</v>
      </c>
      <c r="AP71" s="22">
        <f t="shared" si="63"/>
        <v>0</v>
      </c>
      <c r="AR71" s="87">
        <f t="shared" si="83"/>
        <v>39264</v>
      </c>
      <c r="AS71" s="23">
        <f>AS$5+SUM(AV$5:AV70)-SUM(X$5:X71)+SUM(W$5:W71)</f>
        <v>139056.27143784185</v>
      </c>
      <c r="AT71" s="22">
        <f t="shared" si="84"/>
        <v>0</v>
      </c>
      <c r="AU71" s="22">
        <f>IF(AB71=1,IF(Q71="tak",AT71,PMT(M71/12,P71+1-SUM(AB$5:AB71),AS71)),0)</f>
        <v>0</v>
      </c>
      <c r="AV71" s="22">
        <f t="shared" si="64"/>
        <v>0</v>
      </c>
      <c r="AW71" s="22">
        <f t="shared" si="85"/>
        <v>0</v>
      </c>
      <c r="AY71" s="23">
        <f>AY$5+SUM(BA$5:BA70)+SUM(W$5:W70)-SUM(X$5:X70)</f>
        <v>139056.27143784185</v>
      </c>
      <c r="AZ71" s="23">
        <f t="shared" si="86"/>
        <v>0</v>
      </c>
      <c r="BA71" s="23">
        <f t="shared" si="87"/>
        <v>0</v>
      </c>
      <c r="BB71" s="23">
        <f t="shared" si="65"/>
        <v>0</v>
      </c>
      <c r="BC71" s="23">
        <f t="shared" si="88"/>
        <v>0</v>
      </c>
      <c r="BE71" s="88">
        <f t="shared" si="89"/>
        <v>4.7800000000000002E-2</v>
      </c>
      <c r="BF71" s="89">
        <f>BE71+Dane_kredytowe!F$12</f>
        <v>7.7800000000000008E-2</v>
      </c>
      <c r="BG71" s="23">
        <f>BG$5+SUM(BH$5:BH70)+SUM(R$5:R70)-SUM(S$5:S70)</f>
        <v>300000</v>
      </c>
      <c r="BH71" s="22">
        <f t="shared" si="69"/>
        <v>0</v>
      </c>
      <c r="BI71" s="22">
        <f t="shared" si="67"/>
        <v>0</v>
      </c>
      <c r="BJ71" s="22">
        <f>IF(U71&lt;0,PMT(BF71/12,Dane_kredytowe!F$13-SUM(AB$5:AB71)+1,BG71),0)</f>
        <v>0</v>
      </c>
      <c r="BL71" s="23">
        <f>BL$5+SUM(BN$5:BN70)+SUM(R$5:R70)-SUM(S$5:S70)</f>
        <v>300000</v>
      </c>
      <c r="BM71" s="23">
        <f t="shared" si="90"/>
        <v>0</v>
      </c>
      <c r="BN71" s="23">
        <f t="shared" si="91"/>
        <v>0</v>
      </c>
      <c r="BO71" s="23">
        <f t="shared" si="92"/>
        <v>0</v>
      </c>
      <c r="BQ71" s="89">
        <f t="shared" si="93"/>
        <v>6.4500000000000002E-2</v>
      </c>
      <c r="BR71" s="23">
        <f>BR$5+SUM(BS$5:BS70)+SUM(R$5:R70)-SUM(S$5:S70)+SUM(BV$5:BV70)</f>
        <v>300000</v>
      </c>
      <c r="BS71" s="22">
        <f t="shared" ref="BS71:BS134" si="107">IF(BU71&lt;0,BU71-BT71,0)</f>
        <v>0</v>
      </c>
      <c r="BT71" s="22">
        <f t="shared" ref="BT71:BT134" si="108">IF(BU71&lt;0,-BR71*BQ71/12,0)</f>
        <v>0</v>
      </c>
      <c r="BU71" s="22">
        <f>IF(U71&lt;0,PMT(BQ71/12,Dane_kredytowe!F$13-SUM(AB$5:AB71)+1,BR71),0)</f>
        <v>0</v>
      </c>
      <c r="BV71" s="22">
        <f t="shared" si="101"/>
        <v>0</v>
      </c>
      <c r="BX71" s="23">
        <f>BX$5+SUM(BZ$5:BZ70)+SUM(R$5:R70)-SUM(S$5:S70)+SUM(CB$5,CB70)</f>
        <v>300000</v>
      </c>
      <c r="BY71" s="22">
        <f t="shared" si="94"/>
        <v>0</v>
      </c>
      <c r="BZ71" s="22">
        <f t="shared" si="95"/>
        <v>0</v>
      </c>
      <c r="CA71" s="22">
        <f t="shared" ref="CA71:CA134" si="109">BZ71+BY71</f>
        <v>0</v>
      </c>
      <c r="CB71" s="22">
        <f t="shared" ref="CB71:CB134" si="110">$F71-CA71</f>
        <v>0</v>
      </c>
      <c r="CD71" s="22">
        <f>CD$5+SUM(CE$5:CE70)+SUM(R$5:R70)-SUM(S$5:S70)-SUM(CF$5:CF70)</f>
        <v>300000</v>
      </c>
      <c r="CE71" s="22">
        <f t="shared" si="102"/>
        <v>0</v>
      </c>
      <c r="CF71" s="22">
        <f t="shared" si="96"/>
        <v>0</v>
      </c>
      <c r="CG71" s="22">
        <f t="shared" si="103"/>
        <v>0</v>
      </c>
      <c r="CI71" s="89">
        <f t="shared" si="97"/>
        <v>0.7762</v>
      </c>
      <c r="CJ71" s="22">
        <f t="shared" si="98"/>
        <v>0</v>
      </c>
      <c r="CK71" s="15">
        <f t="shared" si="104"/>
        <v>0</v>
      </c>
      <c r="CM71" s="22">
        <f t="shared" si="105"/>
        <v>0</v>
      </c>
      <c r="CN71" s="15">
        <f t="shared" ref="CN71:CN134" si="111">CM71*BE71/12</f>
        <v>0</v>
      </c>
    </row>
    <row r="72" spans="1:92">
      <c r="A72" s="25"/>
      <c r="B72" s="80">
        <v>39295</v>
      </c>
      <c r="C72" s="81">
        <f t="shared" si="72"/>
        <v>2.3268</v>
      </c>
      <c r="D72" s="82">
        <f t="shared" si="106"/>
        <v>2.396604</v>
      </c>
      <c r="E72" s="73">
        <f t="shared" si="54"/>
        <v>0</v>
      </c>
      <c r="F72" s="19">
        <f t="shared" si="70"/>
        <v>0</v>
      </c>
      <c r="G72" s="19">
        <f t="shared" si="56"/>
        <v>0</v>
      </c>
      <c r="H72" s="19">
        <f t="shared" si="71"/>
        <v>0</v>
      </c>
      <c r="I72" s="62"/>
      <c r="J72" s="15" t="str">
        <f t="shared" si="58"/>
        <v xml:space="preserve"> </v>
      </c>
      <c r="K72" s="15">
        <f>IF(B72&lt;=Dane_kredytowe!F$9,0,K71+1)</f>
        <v>0</v>
      </c>
      <c r="L72" s="83">
        <f t="shared" si="73"/>
        <v>2.7E-2</v>
      </c>
      <c r="M72" s="84">
        <f>L72+Dane_kredytowe!F$12</f>
        <v>5.6999999999999995E-2</v>
      </c>
      <c r="N72" s="79">
        <f>MAX(Dane_kredytowe!F$17+SUM(AA$5:AA71)-SUM(X$5:X72)+SUM(W$5:W72),0)</f>
        <v>95134.46</v>
      </c>
      <c r="O72" s="85">
        <f>MAX(Dane_kredytowe!F$8+SUM(V$5:V71)-SUM(S$5:S72)+SUM(R$5:R71),0)</f>
        <v>300000</v>
      </c>
      <c r="P72" s="67">
        <f t="shared" si="59"/>
        <v>360</v>
      </c>
      <c r="Q72" s="127" t="str">
        <f>IF(AND(K72&gt;0,K72&lt;=Dane_kredytowe!F$16),"tak","nie")</f>
        <v>nie</v>
      </c>
      <c r="R72" s="69"/>
      <c r="S72" s="86">
        <f>IF(Dane_kredytowe!F$19=B72,O71+V71,_xlfn.XLOOKUP(B72,Dane_kredytowe!M$9:M$18,Dane_kredytowe!N$9:N$18,0))</f>
        <v>0</v>
      </c>
      <c r="T72" s="71">
        <f t="shared" si="74"/>
        <v>0</v>
      </c>
      <c r="U72" s="72">
        <f>IF(Q72="tak",T72,IF(P72-SUM(AB$5:AB72)+1&gt;0,IF(Dane_kredytowe!F$9&lt;B72,IF(SUM(AB$5:AB72)-Dane_kredytowe!F$16+1&gt;0,PMT(M72/12,P72+1-SUM(AB$5:AB72),O72),T72),0),0))</f>
        <v>0</v>
      </c>
      <c r="V72" s="72">
        <f t="shared" si="99"/>
        <v>0</v>
      </c>
      <c r="W72" s="19" t="str">
        <f t="shared" si="100"/>
        <v xml:space="preserve"> </v>
      </c>
      <c r="X72" s="19">
        <f t="shared" si="75"/>
        <v>0</v>
      </c>
      <c r="Y72" s="73">
        <f t="shared" si="76"/>
        <v>0</v>
      </c>
      <c r="Z72" s="19">
        <f>IF(P72-SUM(AB$5:AB72)+1&gt;0,IF(Dane_kredytowe!F$9&lt;B72,IF(SUM(AB$5:AB72)-Dane_kredytowe!F$16+1&gt;0,PMT(M72/12,P72+1-SUM(AB$5:AB72),N72),Y72),0),0)</f>
        <v>0</v>
      </c>
      <c r="AA72" s="19">
        <f t="shared" si="68"/>
        <v>0</v>
      </c>
      <c r="AB72" s="20" t="str">
        <f>IF(AND(Dane_kredytowe!F$9&lt;B72,SUM(AB$5:AB71)&lt;P71),1," ")</f>
        <v xml:space="preserve"> </v>
      </c>
      <c r="AD72" s="75">
        <f>IF(OR(B72&lt;Dane_kredytowe!F$15,Dane_kredytowe!F$15=""),-F72+S72,0)</f>
        <v>0</v>
      </c>
      <c r="AE72" s="75">
        <f t="shared" si="77"/>
        <v>0</v>
      </c>
      <c r="AG72" s="22">
        <f>Dane_kredytowe!F$17-SUM(AI$5:AI71)+SUM(W$42:W72)-SUM(X$42:X72)</f>
        <v>95134.46</v>
      </c>
      <c r="AH72" s="22">
        <f t="shared" si="78"/>
        <v>0</v>
      </c>
      <c r="AI72" s="22">
        <f t="shared" si="79"/>
        <v>0</v>
      </c>
      <c r="AJ72" s="22">
        <f t="shared" si="61"/>
        <v>0</v>
      </c>
      <c r="AK72" s="22">
        <f t="shared" si="80"/>
        <v>0</v>
      </c>
      <c r="AL72" s="22">
        <f>Dane_kredytowe!F$8-SUM(AN$5:AN71)+SUM(R$42:R71)-SUM(S$42:S72)</f>
        <v>300000</v>
      </c>
      <c r="AM72" s="22">
        <f t="shared" si="81"/>
        <v>0</v>
      </c>
      <c r="AN72" s="22">
        <f t="shared" si="82"/>
        <v>0</v>
      </c>
      <c r="AO72" s="22">
        <f t="shared" si="62"/>
        <v>0</v>
      </c>
      <c r="AP72" s="22">
        <f t="shared" si="63"/>
        <v>0</v>
      </c>
      <c r="AR72" s="87">
        <f t="shared" si="83"/>
        <v>39295</v>
      </c>
      <c r="AS72" s="23">
        <f>AS$5+SUM(AV$5:AV71)-SUM(X$5:X72)+SUM(W$5:W72)</f>
        <v>139056.27143784185</v>
      </c>
      <c r="AT72" s="22">
        <f t="shared" si="84"/>
        <v>0</v>
      </c>
      <c r="AU72" s="22">
        <f>IF(AB72=1,IF(Q72="tak",AT72,PMT(M72/12,P72+1-SUM(AB$5:AB72),AS72)),0)</f>
        <v>0</v>
      </c>
      <c r="AV72" s="22">
        <f t="shared" si="64"/>
        <v>0</v>
      </c>
      <c r="AW72" s="22">
        <f t="shared" si="85"/>
        <v>0</v>
      </c>
      <c r="AY72" s="23">
        <f>AY$5+SUM(BA$5:BA71)+SUM(W$5:W71)-SUM(X$5:X71)</f>
        <v>139056.27143784185</v>
      </c>
      <c r="AZ72" s="23">
        <f t="shared" si="86"/>
        <v>0</v>
      </c>
      <c r="BA72" s="23">
        <f t="shared" si="87"/>
        <v>0</v>
      </c>
      <c r="BB72" s="23">
        <f t="shared" si="65"/>
        <v>0</v>
      </c>
      <c r="BC72" s="23">
        <f t="shared" si="88"/>
        <v>0</v>
      </c>
      <c r="BE72" s="88">
        <f t="shared" si="89"/>
        <v>4.9099999999999998E-2</v>
      </c>
      <c r="BF72" s="89">
        <f>BE72+Dane_kredytowe!F$12</f>
        <v>7.9100000000000004E-2</v>
      </c>
      <c r="BG72" s="23">
        <f>BG$5+SUM(BH$5:BH71)+SUM(R$5:R71)-SUM(S$5:S71)</f>
        <v>300000</v>
      </c>
      <c r="BH72" s="22">
        <f t="shared" si="69"/>
        <v>0</v>
      </c>
      <c r="BI72" s="22">
        <f t="shared" si="67"/>
        <v>0</v>
      </c>
      <c r="BJ72" s="22">
        <f>IF(U72&lt;0,PMT(BF72/12,Dane_kredytowe!F$13-SUM(AB$5:AB72)+1,BG72),0)</f>
        <v>0</v>
      </c>
      <c r="BL72" s="23">
        <f>BL$5+SUM(BN$5:BN71)+SUM(R$5:R71)-SUM(S$5:S71)</f>
        <v>300000</v>
      </c>
      <c r="BM72" s="23">
        <f t="shared" si="90"/>
        <v>0</v>
      </c>
      <c r="BN72" s="23">
        <f t="shared" si="91"/>
        <v>0</v>
      </c>
      <c r="BO72" s="23">
        <f t="shared" si="92"/>
        <v>0</v>
      </c>
      <c r="BQ72" s="89">
        <f t="shared" si="93"/>
        <v>6.5799999999999997E-2</v>
      </c>
      <c r="BR72" s="23">
        <f>BR$5+SUM(BS$5:BS71)+SUM(R$5:R71)-SUM(S$5:S71)+SUM(BV$5:BV71)</f>
        <v>300000</v>
      </c>
      <c r="BS72" s="22">
        <f t="shared" si="107"/>
        <v>0</v>
      </c>
      <c r="BT72" s="22">
        <f t="shared" si="108"/>
        <v>0</v>
      </c>
      <c r="BU72" s="22">
        <f>IF(U72&lt;0,PMT(BQ72/12,Dane_kredytowe!F$13-SUM(AB$5:AB72)+1,BR72),0)</f>
        <v>0</v>
      </c>
      <c r="BV72" s="22">
        <f t="shared" si="101"/>
        <v>0</v>
      </c>
      <c r="BX72" s="23">
        <f>BX$5+SUM(BZ$5:BZ71)+SUM(R$5:R71)-SUM(S$5:S71)+SUM(CB$5,CB71)</f>
        <v>300000</v>
      </c>
      <c r="BY72" s="22">
        <f t="shared" si="94"/>
        <v>0</v>
      </c>
      <c r="BZ72" s="22">
        <f t="shared" si="95"/>
        <v>0</v>
      </c>
      <c r="CA72" s="22">
        <f t="shared" si="109"/>
        <v>0</v>
      </c>
      <c r="CB72" s="22">
        <f t="shared" si="110"/>
        <v>0</v>
      </c>
      <c r="CD72" s="22">
        <f>CD$5+SUM(CE$5:CE71)+SUM(R$5:R71)-SUM(S$5:S71)-SUM(CF$5:CF71)</f>
        <v>300000</v>
      </c>
      <c r="CE72" s="22">
        <f t="shared" si="102"/>
        <v>0</v>
      </c>
      <c r="CF72" s="22">
        <f t="shared" si="96"/>
        <v>0</v>
      </c>
      <c r="CG72" s="22">
        <f t="shared" si="103"/>
        <v>0</v>
      </c>
      <c r="CI72" s="89">
        <f t="shared" si="97"/>
        <v>0.7833</v>
      </c>
      <c r="CJ72" s="22">
        <f t="shared" si="98"/>
        <v>0</v>
      </c>
      <c r="CK72" s="15">
        <f t="shared" si="104"/>
        <v>0</v>
      </c>
      <c r="CM72" s="22">
        <f t="shared" si="105"/>
        <v>0</v>
      </c>
      <c r="CN72" s="15">
        <f t="shared" si="111"/>
        <v>0</v>
      </c>
    </row>
    <row r="73" spans="1:92">
      <c r="A73" s="25"/>
      <c r="B73" s="80">
        <v>39326</v>
      </c>
      <c r="C73" s="81">
        <f t="shared" si="72"/>
        <v>2.2995000000000001</v>
      </c>
      <c r="D73" s="82">
        <f t="shared" si="106"/>
        <v>2.3684850000000002</v>
      </c>
      <c r="E73" s="73">
        <f t="shared" si="54"/>
        <v>0</v>
      </c>
      <c r="F73" s="19">
        <f t="shared" si="70"/>
        <v>0</v>
      </c>
      <c r="G73" s="19">
        <f t="shared" si="56"/>
        <v>0</v>
      </c>
      <c r="H73" s="19">
        <f t="shared" si="71"/>
        <v>0</v>
      </c>
      <c r="I73" s="62"/>
      <c r="J73" s="15" t="str">
        <f t="shared" ref="J73:J104" si="112">IF(H73&lt;0,"Ze względu na spadek kursu CHF, rata jest korzystniejsza niż bez klauzuli indeksacyjnej"," ")</f>
        <v xml:space="preserve"> </v>
      </c>
      <c r="K73" s="15">
        <f>IF(B73&lt;=Dane_kredytowe!F$9,0,K72+1)</f>
        <v>0</v>
      </c>
      <c r="L73" s="83">
        <f t="shared" si="73"/>
        <v>2.9000000000000001E-2</v>
      </c>
      <c r="M73" s="84">
        <f>L73+Dane_kredytowe!F$12</f>
        <v>5.8999999999999997E-2</v>
      </c>
      <c r="N73" s="79">
        <f>MAX(Dane_kredytowe!F$17+SUM(AA$5:AA72)-SUM(X$5:X73)+SUM(W$5:W73),0)</f>
        <v>95134.46</v>
      </c>
      <c r="O73" s="85">
        <f>MAX(Dane_kredytowe!F$8+SUM(V$5:V72)-SUM(S$5:S73)+SUM(R$5:R72),0)</f>
        <v>300000</v>
      </c>
      <c r="P73" s="67">
        <f t="shared" si="59"/>
        <v>360</v>
      </c>
      <c r="Q73" s="127" t="str">
        <f>IF(AND(K73&gt;0,K73&lt;=Dane_kredytowe!F$16),"tak","nie")</f>
        <v>nie</v>
      </c>
      <c r="R73" s="69"/>
      <c r="S73" s="86">
        <f>IF(Dane_kredytowe!F$19=B73,O72+V72,_xlfn.XLOOKUP(B73,Dane_kredytowe!M$9:M$18,Dane_kredytowe!N$9:N$18,0))</f>
        <v>0</v>
      </c>
      <c r="T73" s="71">
        <f t="shared" si="74"/>
        <v>0</v>
      </c>
      <c r="U73" s="72">
        <f>IF(Q73="tak",T73,IF(P73-SUM(AB$5:AB73)+1&gt;0,IF(Dane_kredytowe!F$9&lt;B73,IF(SUM(AB$5:AB73)-Dane_kredytowe!F$16+1&gt;0,PMT(M73/12,P73+1-SUM(AB$5:AB73),O73),T73),0),0))</f>
        <v>0</v>
      </c>
      <c r="V73" s="72">
        <f t="shared" si="99"/>
        <v>0</v>
      </c>
      <c r="W73" s="19" t="str">
        <f t="shared" si="100"/>
        <v xml:space="preserve"> </v>
      </c>
      <c r="X73" s="19">
        <f t="shared" si="75"/>
        <v>0</v>
      </c>
      <c r="Y73" s="73">
        <f t="shared" si="76"/>
        <v>0</v>
      </c>
      <c r="Z73" s="19">
        <f>IF(P73-SUM(AB$5:AB73)+1&gt;0,IF(Dane_kredytowe!F$9&lt;B73,IF(SUM(AB$5:AB73)-Dane_kredytowe!F$16+1&gt;0,PMT(M73/12,P73+1-SUM(AB$5:AB73),N73),Y73),0),0)</f>
        <v>0</v>
      </c>
      <c r="AA73" s="19">
        <f t="shared" si="68"/>
        <v>0</v>
      </c>
      <c r="AB73" s="20" t="str">
        <f>IF(AND(Dane_kredytowe!F$9&lt;B73,SUM(AB$5:AB72)&lt;P72),1," ")</f>
        <v xml:space="preserve"> </v>
      </c>
      <c r="AD73" s="75">
        <f>IF(OR(B73&lt;Dane_kredytowe!F$15,Dane_kredytowe!F$15=""),-F73+S73,0)</f>
        <v>0</v>
      </c>
      <c r="AE73" s="75">
        <f t="shared" si="77"/>
        <v>0</v>
      </c>
      <c r="AG73" s="22">
        <f>Dane_kredytowe!F$17-SUM(AI$5:AI72)+SUM(W$42:W73)-SUM(X$42:X73)</f>
        <v>95134.46</v>
      </c>
      <c r="AH73" s="22">
        <f t="shared" si="78"/>
        <v>0</v>
      </c>
      <c r="AI73" s="22">
        <f t="shared" si="79"/>
        <v>0</v>
      </c>
      <c r="AJ73" s="22">
        <f t="shared" si="61"/>
        <v>0</v>
      </c>
      <c r="AK73" s="22">
        <f t="shared" si="80"/>
        <v>0</v>
      </c>
      <c r="AL73" s="22">
        <f>Dane_kredytowe!F$8-SUM(AN$5:AN72)+SUM(R$42:R72)-SUM(S$42:S73)</f>
        <v>300000</v>
      </c>
      <c r="AM73" s="22">
        <f t="shared" si="81"/>
        <v>0</v>
      </c>
      <c r="AN73" s="22">
        <f t="shared" si="82"/>
        <v>0</v>
      </c>
      <c r="AO73" s="22">
        <f t="shared" si="62"/>
        <v>0</v>
      </c>
      <c r="AP73" s="22">
        <f t="shared" si="63"/>
        <v>0</v>
      </c>
      <c r="AR73" s="87">
        <f t="shared" si="83"/>
        <v>39326</v>
      </c>
      <c r="AS73" s="23">
        <f>AS$5+SUM(AV$5:AV72)-SUM(X$5:X73)+SUM(W$5:W73)</f>
        <v>139056.27143784185</v>
      </c>
      <c r="AT73" s="22">
        <f t="shared" si="84"/>
        <v>0</v>
      </c>
      <c r="AU73" s="22">
        <f>IF(AB73=1,IF(Q73="tak",AT73,PMT(M73/12,P73+1-SUM(AB$5:AB73),AS73)),0)</f>
        <v>0</v>
      </c>
      <c r="AV73" s="22">
        <f t="shared" si="64"/>
        <v>0</v>
      </c>
      <c r="AW73" s="22">
        <f t="shared" si="85"/>
        <v>0</v>
      </c>
      <c r="AY73" s="23">
        <f>AY$5+SUM(BA$5:BA72)+SUM(W$5:W72)-SUM(X$5:X72)</f>
        <v>139056.27143784185</v>
      </c>
      <c r="AZ73" s="23">
        <f t="shared" si="86"/>
        <v>0</v>
      </c>
      <c r="BA73" s="23">
        <f t="shared" si="87"/>
        <v>0</v>
      </c>
      <c r="BB73" s="23">
        <f t="shared" si="65"/>
        <v>0</v>
      </c>
      <c r="BC73" s="23">
        <f t="shared" si="88"/>
        <v>0</v>
      </c>
      <c r="BE73" s="88">
        <f t="shared" si="89"/>
        <v>5.0900000000000001E-2</v>
      </c>
      <c r="BF73" s="89">
        <f>BE73+Dane_kredytowe!F$12</f>
        <v>8.09E-2</v>
      </c>
      <c r="BG73" s="23">
        <f>BG$5+SUM(BH$5:BH72)+SUM(R$5:R72)-SUM(S$5:S72)</f>
        <v>300000</v>
      </c>
      <c r="BH73" s="22">
        <f t="shared" si="69"/>
        <v>0</v>
      </c>
      <c r="BI73" s="22">
        <f t="shared" si="67"/>
        <v>0</v>
      </c>
      <c r="BJ73" s="22">
        <f>IF(U73&lt;0,PMT(BF73/12,Dane_kredytowe!F$13-SUM(AB$5:AB73)+1,BG73),0)</f>
        <v>0</v>
      </c>
      <c r="BL73" s="23">
        <f>BL$5+SUM(BN$5:BN72)+SUM(R$5:R72)-SUM(S$5:S72)</f>
        <v>300000</v>
      </c>
      <c r="BM73" s="23">
        <f t="shared" si="90"/>
        <v>0</v>
      </c>
      <c r="BN73" s="23">
        <f t="shared" si="91"/>
        <v>0</v>
      </c>
      <c r="BO73" s="23">
        <f t="shared" si="92"/>
        <v>0</v>
      </c>
      <c r="BQ73" s="89">
        <f t="shared" si="93"/>
        <v>6.7599999999999993E-2</v>
      </c>
      <c r="BR73" s="23">
        <f>BR$5+SUM(BS$5:BS72)+SUM(R$5:R72)-SUM(S$5:S72)+SUM(BV$5:BV72)</f>
        <v>300000</v>
      </c>
      <c r="BS73" s="22">
        <f t="shared" si="107"/>
        <v>0</v>
      </c>
      <c r="BT73" s="22">
        <f t="shared" si="108"/>
        <v>0</v>
      </c>
      <c r="BU73" s="22">
        <f>IF(U73&lt;0,PMT(BQ73/12,Dane_kredytowe!F$13-SUM(AB$5:AB73)+1,BR73),0)</f>
        <v>0</v>
      </c>
      <c r="BV73" s="22">
        <f t="shared" si="101"/>
        <v>0</v>
      </c>
      <c r="BX73" s="23">
        <f>BX$5+SUM(BZ$5:BZ72)+SUM(R$5:R72)-SUM(S$5:S72)+SUM(CB$5,CB72)</f>
        <v>300000</v>
      </c>
      <c r="BY73" s="22">
        <f t="shared" si="94"/>
        <v>0</v>
      </c>
      <c r="BZ73" s="22">
        <f t="shared" si="95"/>
        <v>0</v>
      </c>
      <c r="CA73" s="22">
        <f t="shared" si="109"/>
        <v>0</v>
      </c>
      <c r="CB73" s="22">
        <f t="shared" si="110"/>
        <v>0</v>
      </c>
      <c r="CD73" s="22">
        <f>CD$5+SUM(CE$5:CE72)+SUM(R$5:R72)-SUM(S$5:S72)-SUM(CF$5:CF72)</f>
        <v>300000</v>
      </c>
      <c r="CE73" s="22">
        <f t="shared" si="102"/>
        <v>0</v>
      </c>
      <c r="CF73" s="22">
        <f t="shared" si="96"/>
        <v>0</v>
      </c>
      <c r="CG73" s="22">
        <f t="shared" si="103"/>
        <v>0</v>
      </c>
      <c r="CI73" s="89">
        <f t="shared" si="97"/>
        <v>0.76910000000000001</v>
      </c>
      <c r="CJ73" s="22">
        <f t="shared" si="98"/>
        <v>0</v>
      </c>
      <c r="CK73" s="15">
        <f t="shared" si="104"/>
        <v>0</v>
      </c>
      <c r="CM73" s="22">
        <f t="shared" si="105"/>
        <v>0</v>
      </c>
      <c r="CN73" s="15">
        <f t="shared" si="111"/>
        <v>0</v>
      </c>
    </row>
    <row r="74" spans="1:92">
      <c r="A74" s="25"/>
      <c r="B74" s="80">
        <v>39356</v>
      </c>
      <c r="C74" s="81">
        <f t="shared" si="72"/>
        <v>2.2176999999999998</v>
      </c>
      <c r="D74" s="82">
        <f t="shared" si="106"/>
        <v>2.2842309999999997</v>
      </c>
      <c r="E74" s="73">
        <f t="shared" si="54"/>
        <v>0</v>
      </c>
      <c r="F74" s="19">
        <f t="shared" si="70"/>
        <v>0</v>
      </c>
      <c r="G74" s="19">
        <f t="shared" si="56"/>
        <v>0</v>
      </c>
      <c r="H74" s="19">
        <f t="shared" si="71"/>
        <v>0</v>
      </c>
      <c r="I74" s="62"/>
      <c r="J74" s="15" t="str">
        <f t="shared" si="112"/>
        <v xml:space="preserve"> </v>
      </c>
      <c r="K74" s="15">
        <f>IF(B74&lt;=Dane_kredytowe!F$9,0,K73+1)</f>
        <v>0</v>
      </c>
      <c r="L74" s="83">
        <f t="shared" si="73"/>
        <v>2.7799999999999998E-2</v>
      </c>
      <c r="M74" s="84">
        <f>L74+Dane_kredytowe!F$12</f>
        <v>5.7799999999999997E-2</v>
      </c>
      <c r="N74" s="79">
        <f>MAX(Dane_kredytowe!F$17+SUM(AA$5:AA73)-SUM(X$5:X74)+SUM(W$5:W74),0)</f>
        <v>95134.46</v>
      </c>
      <c r="O74" s="85">
        <f>MAX(Dane_kredytowe!F$8+SUM(V$5:V73)-SUM(S$5:S74)+SUM(R$5:R73),0)</f>
        <v>300000</v>
      </c>
      <c r="P74" s="67">
        <f t="shared" si="59"/>
        <v>360</v>
      </c>
      <c r="Q74" s="127" t="str">
        <f>IF(AND(K74&gt;0,K74&lt;=Dane_kredytowe!F$16),"tak","nie")</f>
        <v>nie</v>
      </c>
      <c r="R74" s="69"/>
      <c r="S74" s="86">
        <f>IF(Dane_kredytowe!F$19=B74,O73+V73,_xlfn.XLOOKUP(B74,Dane_kredytowe!M$9:M$18,Dane_kredytowe!N$9:N$18,0))</f>
        <v>0</v>
      </c>
      <c r="T74" s="71">
        <f t="shared" si="74"/>
        <v>0</v>
      </c>
      <c r="U74" s="72">
        <f>IF(Q74="tak",T74,IF(P74-SUM(AB$5:AB74)+1&gt;0,IF(Dane_kredytowe!F$9&lt;B74,IF(SUM(AB$5:AB74)-Dane_kredytowe!F$16+1&gt;0,PMT(M74/12,P74+1-SUM(AB$5:AB74),O74),T74),0),0))</f>
        <v>0</v>
      </c>
      <c r="V74" s="72">
        <f t="shared" si="99"/>
        <v>0</v>
      </c>
      <c r="W74" s="19" t="str">
        <f t="shared" si="100"/>
        <v xml:space="preserve"> </v>
      </c>
      <c r="X74" s="19">
        <f t="shared" si="75"/>
        <v>0</v>
      </c>
      <c r="Y74" s="73">
        <f t="shared" si="76"/>
        <v>0</v>
      </c>
      <c r="Z74" s="19">
        <f>IF(P74-SUM(AB$5:AB74)+1&gt;0,IF(Dane_kredytowe!F$9&lt;B74,IF(SUM(AB$5:AB74)-Dane_kredytowe!F$16+1&gt;0,PMT(M74/12,P74+1-SUM(AB$5:AB74),N74),Y74),0),0)</f>
        <v>0</v>
      </c>
      <c r="AA74" s="19">
        <f t="shared" si="68"/>
        <v>0</v>
      </c>
      <c r="AB74" s="20" t="str">
        <f>IF(AND(Dane_kredytowe!F$9&lt;B74,SUM(AB$5:AB73)&lt;P73),1," ")</f>
        <v xml:space="preserve"> </v>
      </c>
      <c r="AD74" s="75">
        <f>IF(OR(B74&lt;Dane_kredytowe!F$15,Dane_kredytowe!F$15=""),-F74+S74,0)</f>
        <v>0</v>
      </c>
      <c r="AE74" s="75">
        <f t="shared" si="77"/>
        <v>0</v>
      </c>
      <c r="AG74" s="22">
        <f>Dane_kredytowe!F$17-SUM(AI$5:AI73)+SUM(W$42:W74)-SUM(X$42:X74)</f>
        <v>95134.46</v>
      </c>
      <c r="AH74" s="22">
        <f t="shared" si="78"/>
        <v>0</v>
      </c>
      <c r="AI74" s="22">
        <f t="shared" si="79"/>
        <v>0</v>
      </c>
      <c r="AJ74" s="22">
        <f t="shared" si="61"/>
        <v>0</v>
      </c>
      <c r="AK74" s="22">
        <f t="shared" si="80"/>
        <v>0</v>
      </c>
      <c r="AL74" s="22">
        <f>Dane_kredytowe!F$8-SUM(AN$5:AN73)+SUM(R$42:R73)-SUM(S$42:S74)</f>
        <v>300000</v>
      </c>
      <c r="AM74" s="22">
        <f t="shared" si="81"/>
        <v>0</v>
      </c>
      <c r="AN74" s="22">
        <f t="shared" si="82"/>
        <v>0</v>
      </c>
      <c r="AO74" s="22">
        <f t="shared" si="62"/>
        <v>0</v>
      </c>
      <c r="AP74" s="22">
        <f t="shared" si="63"/>
        <v>0</v>
      </c>
      <c r="AR74" s="87">
        <f t="shared" si="83"/>
        <v>39356</v>
      </c>
      <c r="AS74" s="23">
        <f>AS$5+SUM(AV$5:AV73)-SUM(X$5:X74)+SUM(W$5:W74)</f>
        <v>139056.27143784185</v>
      </c>
      <c r="AT74" s="22">
        <f t="shared" si="84"/>
        <v>0</v>
      </c>
      <c r="AU74" s="22">
        <f>IF(AB74=1,IF(Q74="tak",AT74,PMT(M74/12,P74+1-SUM(AB$5:AB74),AS74)),0)</f>
        <v>0</v>
      </c>
      <c r="AV74" s="22">
        <f t="shared" si="64"/>
        <v>0</v>
      </c>
      <c r="AW74" s="22">
        <f t="shared" si="85"/>
        <v>0</v>
      </c>
      <c r="AY74" s="23">
        <f>AY$5+SUM(BA$5:BA73)+SUM(W$5:W73)-SUM(X$5:X73)</f>
        <v>139056.27143784185</v>
      </c>
      <c r="AZ74" s="23">
        <f t="shared" si="86"/>
        <v>0</v>
      </c>
      <c r="BA74" s="23">
        <f t="shared" si="87"/>
        <v>0</v>
      </c>
      <c r="BB74" s="23">
        <f t="shared" si="65"/>
        <v>0</v>
      </c>
      <c r="BC74" s="23">
        <f t="shared" si="88"/>
        <v>0</v>
      </c>
      <c r="BE74" s="88">
        <f t="shared" si="89"/>
        <v>5.1299999999999998E-2</v>
      </c>
      <c r="BF74" s="89">
        <f>BE74+Dane_kredytowe!F$12</f>
        <v>8.1299999999999997E-2</v>
      </c>
      <c r="BG74" s="23">
        <f>BG$5+SUM(BH$5:BH73)+SUM(R$5:R73)-SUM(S$5:S73)</f>
        <v>300000</v>
      </c>
      <c r="BH74" s="22">
        <f t="shared" si="69"/>
        <v>0</v>
      </c>
      <c r="BI74" s="22">
        <f t="shared" si="67"/>
        <v>0</v>
      </c>
      <c r="BJ74" s="22">
        <f>IF(U74&lt;0,PMT(BF74/12,Dane_kredytowe!F$13-SUM(AB$5:AB74)+1,BG74),0)</f>
        <v>0</v>
      </c>
      <c r="BL74" s="23">
        <f>BL$5+SUM(BN$5:BN73)+SUM(R$5:R73)-SUM(S$5:S73)</f>
        <v>300000</v>
      </c>
      <c r="BM74" s="23">
        <f t="shared" si="90"/>
        <v>0</v>
      </c>
      <c r="BN74" s="23">
        <f t="shared" si="91"/>
        <v>0</v>
      </c>
      <c r="BO74" s="23">
        <f t="shared" si="92"/>
        <v>0</v>
      </c>
      <c r="BQ74" s="89">
        <f t="shared" si="93"/>
        <v>6.8000000000000005E-2</v>
      </c>
      <c r="BR74" s="23">
        <f>BR$5+SUM(BS$5:BS73)+SUM(R$5:R73)-SUM(S$5:S73)+SUM(BV$5:BV73)</f>
        <v>300000</v>
      </c>
      <c r="BS74" s="22">
        <f t="shared" si="107"/>
        <v>0</v>
      </c>
      <c r="BT74" s="22">
        <f t="shared" si="108"/>
        <v>0</v>
      </c>
      <c r="BU74" s="22">
        <f>IF(U74&lt;0,PMT(BQ74/12,Dane_kredytowe!F$13-SUM(AB$5:AB74)+1,BR74),0)</f>
        <v>0</v>
      </c>
      <c r="BV74" s="22">
        <f t="shared" si="101"/>
        <v>0</v>
      </c>
      <c r="BX74" s="23">
        <f>BX$5+SUM(BZ$5:BZ73)+SUM(R$5:R73)-SUM(S$5:S73)+SUM(CB$5,CB73)</f>
        <v>300000</v>
      </c>
      <c r="BY74" s="22">
        <f t="shared" si="94"/>
        <v>0</v>
      </c>
      <c r="BZ74" s="22">
        <f t="shared" si="95"/>
        <v>0</v>
      </c>
      <c r="CA74" s="22">
        <f t="shared" si="109"/>
        <v>0</v>
      </c>
      <c r="CB74" s="22">
        <f t="shared" si="110"/>
        <v>0</v>
      </c>
      <c r="CD74" s="22">
        <f>CD$5+SUM(CE$5:CE73)+SUM(R$5:R73)-SUM(S$5:S73)-SUM(CF$5:CF73)</f>
        <v>300000</v>
      </c>
      <c r="CE74" s="22">
        <f t="shared" si="102"/>
        <v>0</v>
      </c>
      <c r="CF74" s="22">
        <f t="shared" si="96"/>
        <v>0</v>
      </c>
      <c r="CG74" s="22">
        <f t="shared" si="103"/>
        <v>0</v>
      </c>
      <c r="CI74" s="89">
        <f t="shared" si="97"/>
        <v>0.75860000000000005</v>
      </c>
      <c r="CJ74" s="22">
        <f t="shared" si="98"/>
        <v>0</v>
      </c>
      <c r="CK74" s="15">
        <f t="shared" si="104"/>
        <v>0</v>
      </c>
      <c r="CM74" s="22">
        <f t="shared" si="105"/>
        <v>0</v>
      </c>
      <c r="CN74" s="15">
        <f t="shared" si="111"/>
        <v>0</v>
      </c>
    </row>
    <row r="75" spans="1:92">
      <c r="A75" s="25"/>
      <c r="B75" s="80">
        <v>39387</v>
      </c>
      <c r="C75" s="81">
        <f t="shared" si="72"/>
        <v>2.2179000000000002</v>
      </c>
      <c r="D75" s="82">
        <f t="shared" si="106"/>
        <v>2.2844370000000001</v>
      </c>
      <c r="E75" s="73">
        <f t="shared" si="54"/>
        <v>0</v>
      </c>
      <c r="F75" s="19">
        <f t="shared" si="70"/>
        <v>0</v>
      </c>
      <c r="G75" s="19">
        <f t="shared" si="56"/>
        <v>0</v>
      </c>
      <c r="H75" s="19">
        <f t="shared" si="71"/>
        <v>0</v>
      </c>
      <c r="I75" s="62"/>
      <c r="J75" s="15" t="str">
        <f t="shared" si="112"/>
        <v xml:space="preserve"> </v>
      </c>
      <c r="K75" s="15">
        <f>IF(B75&lt;=Dane_kredytowe!F$9,0,K74+1)</f>
        <v>0</v>
      </c>
      <c r="L75" s="83">
        <f t="shared" si="73"/>
        <v>2.7799999999999998E-2</v>
      </c>
      <c r="M75" s="84">
        <f>L75+Dane_kredytowe!F$12</f>
        <v>5.7799999999999997E-2</v>
      </c>
      <c r="N75" s="79">
        <f>MAX(Dane_kredytowe!F$17+SUM(AA$5:AA74)-SUM(X$5:X75)+SUM(W$5:W75),0)</f>
        <v>95134.46</v>
      </c>
      <c r="O75" s="85">
        <f>MAX(Dane_kredytowe!F$8+SUM(V$5:V74)-SUM(S$5:S75)+SUM(R$5:R74),0)</f>
        <v>300000</v>
      </c>
      <c r="P75" s="67">
        <f t="shared" si="59"/>
        <v>360</v>
      </c>
      <c r="Q75" s="127" t="str">
        <f>IF(AND(K75&gt;0,K75&lt;=Dane_kredytowe!F$16),"tak","nie")</f>
        <v>nie</v>
      </c>
      <c r="R75" s="69"/>
      <c r="S75" s="86">
        <f>IF(Dane_kredytowe!F$19=B75,O74+V74,_xlfn.XLOOKUP(B75,Dane_kredytowe!M$9:M$18,Dane_kredytowe!N$9:N$18,0))</f>
        <v>0</v>
      </c>
      <c r="T75" s="71">
        <f t="shared" si="74"/>
        <v>0</v>
      </c>
      <c r="U75" s="72">
        <f>IF(Q75="tak",T75,IF(P75-SUM(AB$5:AB75)+1&gt;0,IF(Dane_kredytowe!F$9&lt;B75,IF(SUM(AB$5:AB75)-Dane_kredytowe!F$16+1&gt;0,PMT(M75/12,P75+1-SUM(AB$5:AB75),O75),T75),0),0))</f>
        <v>0</v>
      </c>
      <c r="V75" s="72">
        <f t="shared" si="99"/>
        <v>0</v>
      </c>
      <c r="W75" s="19" t="str">
        <f t="shared" si="100"/>
        <v xml:space="preserve"> </v>
      </c>
      <c r="X75" s="19">
        <f>IF(S75&gt;0,S75/D75,0)</f>
        <v>0</v>
      </c>
      <c r="Y75" s="73">
        <f t="shared" si="76"/>
        <v>0</v>
      </c>
      <c r="Z75" s="19">
        <f>IF(P75-SUM(AB$5:AB75)+1&gt;0,IF(Dane_kredytowe!F$9&lt;B75,IF(SUM(AB$5:AB75)-Dane_kredytowe!F$16+1&gt;0,PMT(M75/12,P75+1-SUM(AB$5:AB75),N75),Y75),0),0)</f>
        <v>0</v>
      </c>
      <c r="AA75" s="19">
        <f t="shared" si="68"/>
        <v>0</v>
      </c>
      <c r="AB75" s="20" t="str">
        <f>IF(AND(Dane_kredytowe!F$9&lt;B75,SUM(AB$5:AB74)&lt;P74),1," ")</f>
        <v xml:space="preserve"> </v>
      </c>
      <c r="AD75" s="75">
        <f>IF(OR(B75&lt;Dane_kredytowe!F$15,Dane_kredytowe!F$15=""),-F75+S75,0)</f>
        <v>0</v>
      </c>
      <c r="AE75" s="75">
        <f t="shared" si="77"/>
        <v>0</v>
      </c>
      <c r="AG75" s="22">
        <f>Dane_kredytowe!F$17-SUM(AI$5:AI74)+SUM(W$42:W75)-SUM(X$42:X75)</f>
        <v>95134.46</v>
      </c>
      <c r="AH75" s="22">
        <f t="shared" si="78"/>
        <v>0</v>
      </c>
      <c r="AI75" s="22">
        <f t="shared" si="79"/>
        <v>0</v>
      </c>
      <c r="AJ75" s="22">
        <f t="shared" si="61"/>
        <v>0</v>
      </c>
      <c r="AK75" s="22">
        <f t="shared" si="80"/>
        <v>0</v>
      </c>
      <c r="AL75" s="22">
        <f>Dane_kredytowe!F$8-SUM(AN$5:AN74)+SUM(R$42:R74)-SUM(S$42:S75)</f>
        <v>300000</v>
      </c>
      <c r="AM75" s="22">
        <f t="shared" si="81"/>
        <v>0</v>
      </c>
      <c r="AN75" s="22">
        <f t="shared" si="82"/>
        <v>0</v>
      </c>
      <c r="AO75" s="22">
        <f t="shared" si="62"/>
        <v>0</v>
      </c>
      <c r="AP75" s="22">
        <f t="shared" si="63"/>
        <v>0</v>
      </c>
      <c r="AR75" s="87">
        <f t="shared" si="83"/>
        <v>39387</v>
      </c>
      <c r="AS75" s="23">
        <f>AS$5+SUM(AV$5:AV74)-SUM(X$5:X75)+SUM(W$5:W75)</f>
        <v>139056.27143784185</v>
      </c>
      <c r="AT75" s="22">
        <f t="shared" si="84"/>
        <v>0</v>
      </c>
      <c r="AU75" s="22">
        <f>IF(AB75=1,IF(Q75="tak",AT75,PMT(M75/12,P75+1-SUM(AB$5:AB75),AS75)),0)</f>
        <v>0</v>
      </c>
      <c r="AV75" s="22">
        <f t="shared" si="64"/>
        <v>0</v>
      </c>
      <c r="AW75" s="22">
        <f t="shared" si="85"/>
        <v>0</v>
      </c>
      <c r="AY75" s="23">
        <f>AY$5+SUM(BA$5:BA74)+SUM(W$5:W74)-SUM(X$5:X74)</f>
        <v>139056.27143784185</v>
      </c>
      <c r="AZ75" s="23">
        <f t="shared" si="86"/>
        <v>0</v>
      </c>
      <c r="BA75" s="23">
        <f t="shared" si="87"/>
        <v>0</v>
      </c>
      <c r="BB75" s="23">
        <f t="shared" si="65"/>
        <v>0</v>
      </c>
      <c r="BC75" s="23">
        <f t="shared" si="88"/>
        <v>0</v>
      </c>
      <c r="BE75" s="88">
        <f t="shared" si="89"/>
        <v>5.3600000000000002E-2</v>
      </c>
      <c r="BF75" s="89">
        <f>BE75+Dane_kredytowe!F$12</f>
        <v>8.3600000000000008E-2</v>
      </c>
      <c r="BG75" s="23">
        <f>BG$5+SUM(BH$5:BH74)+SUM(R$5:R74)-SUM(S$5:S74)</f>
        <v>300000</v>
      </c>
      <c r="BH75" s="22">
        <f t="shared" si="69"/>
        <v>0</v>
      </c>
      <c r="BI75" s="22">
        <f t="shared" si="67"/>
        <v>0</v>
      </c>
      <c r="BJ75" s="22">
        <f>IF(U75&lt;0,PMT(BF75/12,Dane_kredytowe!F$13-SUM(AB$5:AB75)+1,BG75),0)</f>
        <v>0</v>
      </c>
      <c r="BL75" s="23">
        <f>BL$5+SUM(BN$5:BN74)+SUM(R$5:R74)-SUM(S$5:S74)</f>
        <v>300000</v>
      </c>
      <c r="BM75" s="23">
        <f t="shared" si="90"/>
        <v>0</v>
      </c>
      <c r="BN75" s="23">
        <f t="shared" si="91"/>
        <v>0</v>
      </c>
      <c r="BO75" s="23">
        <f t="shared" si="92"/>
        <v>0</v>
      </c>
      <c r="BQ75" s="89">
        <f t="shared" si="93"/>
        <v>7.0300000000000001E-2</v>
      </c>
      <c r="BR75" s="23">
        <f>BR$5+SUM(BS$5:BS74)+SUM(R$5:R74)-SUM(S$5:S74)+SUM(BV$5:BV74)</f>
        <v>300000</v>
      </c>
      <c r="BS75" s="22">
        <f t="shared" si="107"/>
        <v>0</v>
      </c>
      <c r="BT75" s="22">
        <f t="shared" si="108"/>
        <v>0</v>
      </c>
      <c r="BU75" s="22">
        <f>IF(U75&lt;0,PMT(BQ75/12,Dane_kredytowe!F$13-SUM(AB$5:AB75)+1,BR75),0)</f>
        <v>0</v>
      </c>
      <c r="BV75" s="22">
        <f t="shared" si="101"/>
        <v>0</v>
      </c>
      <c r="BX75" s="23">
        <f>BX$5+SUM(BZ$5:BZ74)+SUM(R$5:R74)-SUM(S$5:S74)+SUM(CB$5,CB74)</f>
        <v>300000</v>
      </c>
      <c r="BY75" s="22">
        <f t="shared" si="94"/>
        <v>0</v>
      </c>
      <c r="BZ75" s="22">
        <f t="shared" si="95"/>
        <v>0</v>
      </c>
      <c r="CA75" s="22">
        <f t="shared" si="109"/>
        <v>0</v>
      </c>
      <c r="CB75" s="22">
        <f t="shared" si="110"/>
        <v>0</v>
      </c>
      <c r="CD75" s="22">
        <f>CD$5+SUM(CE$5:CE74)+SUM(R$5:R74)-SUM(S$5:S74)-SUM(CF$5:CF74)</f>
        <v>300000</v>
      </c>
      <c r="CE75" s="22">
        <f t="shared" si="102"/>
        <v>0</v>
      </c>
      <c r="CF75" s="22">
        <f t="shared" si="96"/>
        <v>0</v>
      </c>
      <c r="CG75" s="22">
        <f t="shared" si="103"/>
        <v>0</v>
      </c>
      <c r="CI75" s="89">
        <f t="shared" si="97"/>
        <v>0.74639999999999995</v>
      </c>
      <c r="CJ75" s="22">
        <f t="shared" si="98"/>
        <v>0</v>
      </c>
      <c r="CK75" s="15">
        <f t="shared" si="104"/>
        <v>0</v>
      </c>
      <c r="CM75" s="22">
        <f t="shared" si="105"/>
        <v>0</v>
      </c>
      <c r="CN75" s="15">
        <f t="shared" si="111"/>
        <v>0</v>
      </c>
    </row>
    <row r="76" spans="1:92">
      <c r="A76" s="25"/>
      <c r="B76" s="80">
        <v>39417</v>
      </c>
      <c r="C76" s="81">
        <f t="shared" si="72"/>
        <v>2.1720999999999999</v>
      </c>
      <c r="D76" s="82">
        <f t="shared" si="106"/>
        <v>2.237263</v>
      </c>
      <c r="E76" s="73">
        <f t="shared" si="54"/>
        <v>0</v>
      </c>
      <c r="F76" s="19">
        <f t="shared" si="70"/>
        <v>0</v>
      </c>
      <c r="G76" s="19">
        <f t="shared" si="56"/>
        <v>0</v>
      </c>
      <c r="H76" s="19">
        <f t="shared" si="71"/>
        <v>0</v>
      </c>
      <c r="I76" s="62"/>
      <c r="J76" s="15" t="str">
        <f t="shared" si="112"/>
        <v xml:space="preserve"> </v>
      </c>
      <c r="K76" s="15">
        <f>IF(B76&lt;=Dane_kredytowe!F$9,0,K75+1)</f>
        <v>0</v>
      </c>
      <c r="L76" s="83">
        <f t="shared" si="73"/>
        <v>2.7799999999999998E-2</v>
      </c>
      <c r="M76" s="84">
        <f>L76+Dane_kredytowe!F$12</f>
        <v>5.7799999999999997E-2</v>
      </c>
      <c r="N76" s="79">
        <f>MAX(Dane_kredytowe!F$17+SUM(AA$5:AA75)-SUM(X$5:X76)+SUM(W$5:W76),0)</f>
        <v>95134.46</v>
      </c>
      <c r="O76" s="85">
        <f>MAX(Dane_kredytowe!F$8+SUM(V$5:V75)-SUM(S$5:S76)+SUM(R$5:R75),0)</f>
        <v>300000</v>
      </c>
      <c r="P76" s="67">
        <f t="shared" si="59"/>
        <v>360</v>
      </c>
      <c r="Q76" s="127" t="str">
        <f>IF(AND(K76&gt;0,K76&lt;=Dane_kredytowe!F$16),"tak","nie")</f>
        <v>nie</v>
      </c>
      <c r="R76" s="69"/>
      <c r="S76" s="86">
        <f>IF(Dane_kredytowe!F$19=B76,O75+V75,_xlfn.XLOOKUP(B76,Dane_kredytowe!M$9:M$18,Dane_kredytowe!N$9:N$18,0))</f>
        <v>0</v>
      </c>
      <c r="T76" s="71">
        <f t="shared" si="74"/>
        <v>0</v>
      </c>
      <c r="U76" s="72">
        <f>IF(Q76="tak",T76,IF(P76-SUM(AB$5:AB76)+1&gt;0,IF(Dane_kredytowe!F$9&lt;B76,IF(SUM(AB$5:AB76)-Dane_kredytowe!F$16+1&gt;0,PMT(M76/12,P76+1-SUM(AB$5:AB76),O76),T76),0),0))</f>
        <v>0</v>
      </c>
      <c r="V76" s="72">
        <f t="shared" si="99"/>
        <v>0</v>
      </c>
      <c r="W76" s="19" t="str">
        <f t="shared" si="100"/>
        <v xml:space="preserve"> </v>
      </c>
      <c r="X76" s="19">
        <f t="shared" si="75"/>
        <v>0</v>
      </c>
      <c r="Y76" s="73">
        <f t="shared" si="76"/>
        <v>0</v>
      </c>
      <c r="Z76" s="19">
        <f>IF(P76-SUM(AB$5:AB76)+1&gt;0,IF(Dane_kredytowe!F$9&lt;B76,IF(SUM(AB$5:AB76)-Dane_kredytowe!F$16+1&gt;0,PMT(M76/12,P76+1-SUM(AB$5:AB76),N76),Y76),0),0)</f>
        <v>0</v>
      </c>
      <c r="AA76" s="19">
        <f t="shared" si="68"/>
        <v>0</v>
      </c>
      <c r="AB76" s="20" t="str">
        <f>IF(AND(Dane_kredytowe!F$9&lt;B76,SUM(AB$5:AB75)&lt;P75),1," ")</f>
        <v xml:space="preserve"> </v>
      </c>
      <c r="AD76" s="75">
        <f>IF(OR(B76&lt;Dane_kredytowe!F$15,Dane_kredytowe!F$15=""),-F76+S76,0)</f>
        <v>0</v>
      </c>
      <c r="AE76" s="75">
        <f t="shared" si="77"/>
        <v>0</v>
      </c>
      <c r="AG76" s="22">
        <f>Dane_kredytowe!F$17-SUM(AI$5:AI75)+SUM(W$42:W76)-SUM(X$42:X76)</f>
        <v>95134.46</v>
      </c>
      <c r="AH76" s="22">
        <f t="shared" si="78"/>
        <v>0</v>
      </c>
      <c r="AI76" s="22">
        <f t="shared" si="79"/>
        <v>0</v>
      </c>
      <c r="AJ76" s="22">
        <f t="shared" si="61"/>
        <v>0</v>
      </c>
      <c r="AK76" s="22">
        <f t="shared" si="80"/>
        <v>0</v>
      </c>
      <c r="AL76" s="22">
        <f>Dane_kredytowe!F$8-SUM(AN$5:AN75)+SUM(R$42:R75)-SUM(S$42:S76)</f>
        <v>300000</v>
      </c>
      <c r="AM76" s="22">
        <f t="shared" si="81"/>
        <v>0</v>
      </c>
      <c r="AN76" s="22">
        <f t="shared" si="82"/>
        <v>0</v>
      </c>
      <c r="AO76" s="22">
        <f t="shared" si="62"/>
        <v>0</v>
      </c>
      <c r="AP76" s="22">
        <f t="shared" si="63"/>
        <v>0</v>
      </c>
      <c r="AR76" s="87">
        <f t="shared" si="83"/>
        <v>39417</v>
      </c>
      <c r="AS76" s="23">
        <f>AS$5+SUM(AV$5:AV75)-SUM(X$5:X76)+SUM(W$5:W76)</f>
        <v>139056.27143784185</v>
      </c>
      <c r="AT76" s="22">
        <f t="shared" si="84"/>
        <v>0</v>
      </c>
      <c r="AU76" s="22">
        <f>IF(AB76=1,IF(Q76="tak",AT76,PMT(M76/12,P76+1-SUM(AB$5:AB76),AS76)),0)</f>
        <v>0</v>
      </c>
      <c r="AV76" s="22">
        <f t="shared" si="64"/>
        <v>0</v>
      </c>
      <c r="AW76" s="22">
        <f t="shared" si="85"/>
        <v>0</v>
      </c>
      <c r="AY76" s="23">
        <f>AY$5+SUM(BA$5:BA75)+SUM(W$5:W75)-SUM(X$5:X75)</f>
        <v>139056.27143784185</v>
      </c>
      <c r="AZ76" s="23">
        <f t="shared" si="86"/>
        <v>0</v>
      </c>
      <c r="BA76" s="23">
        <f t="shared" si="87"/>
        <v>0</v>
      </c>
      <c r="BB76" s="23">
        <f t="shared" si="65"/>
        <v>0</v>
      </c>
      <c r="BC76" s="23">
        <f t="shared" si="88"/>
        <v>0</v>
      </c>
      <c r="BE76" s="88">
        <f t="shared" si="89"/>
        <v>5.67E-2</v>
      </c>
      <c r="BF76" s="89">
        <f>BE76+Dane_kredytowe!F$12</f>
        <v>8.6699999999999999E-2</v>
      </c>
      <c r="BG76" s="23">
        <f>BG$5+SUM(BH$5:BH75)+SUM(R$5:R75)-SUM(S$5:S75)</f>
        <v>300000</v>
      </c>
      <c r="BH76" s="22">
        <f t="shared" si="69"/>
        <v>0</v>
      </c>
      <c r="BI76" s="22">
        <f t="shared" si="67"/>
        <v>0</v>
      </c>
      <c r="BJ76" s="22">
        <f>IF(U76&lt;0,PMT(BF76/12,Dane_kredytowe!F$13-SUM(AB$5:AB76)+1,BG76),0)</f>
        <v>0</v>
      </c>
      <c r="BL76" s="23">
        <f>BL$5+SUM(BN$5:BN75)+SUM(R$5:R75)-SUM(S$5:S75)</f>
        <v>300000</v>
      </c>
      <c r="BM76" s="23">
        <f t="shared" si="90"/>
        <v>0</v>
      </c>
      <c r="BN76" s="23">
        <f t="shared" si="91"/>
        <v>0</v>
      </c>
      <c r="BO76" s="23">
        <f t="shared" si="92"/>
        <v>0</v>
      </c>
      <c r="BQ76" s="89">
        <f t="shared" si="93"/>
        <v>7.3399999999999993E-2</v>
      </c>
      <c r="BR76" s="23">
        <f>BR$5+SUM(BS$5:BS75)+SUM(R$5:R75)-SUM(S$5:S75)+SUM(BV$5:BV75)</f>
        <v>300000</v>
      </c>
      <c r="BS76" s="22">
        <f t="shared" si="107"/>
        <v>0</v>
      </c>
      <c r="BT76" s="22">
        <f t="shared" si="108"/>
        <v>0</v>
      </c>
      <c r="BU76" s="22">
        <f>IF(U76&lt;0,PMT(BQ76/12,Dane_kredytowe!F$13-SUM(AB$5:AB76)+1,BR76),0)</f>
        <v>0</v>
      </c>
      <c r="BV76" s="22">
        <f t="shared" si="101"/>
        <v>0</v>
      </c>
      <c r="BX76" s="23">
        <f>BX$5+SUM(BZ$5:BZ75)+SUM(R$5:R75)-SUM(S$5:S75)+SUM(CB$5,CB75)</f>
        <v>300000</v>
      </c>
      <c r="BY76" s="22">
        <f t="shared" si="94"/>
        <v>0</v>
      </c>
      <c r="BZ76" s="22">
        <f t="shared" si="95"/>
        <v>0</v>
      </c>
      <c r="CA76" s="22">
        <f t="shared" si="109"/>
        <v>0</v>
      </c>
      <c r="CB76" s="22">
        <f t="shared" si="110"/>
        <v>0</v>
      </c>
      <c r="CD76" s="22">
        <f>CD$5+SUM(CE$5:CE75)+SUM(R$5:R75)-SUM(S$5:S75)-SUM(CF$5:CF75)</f>
        <v>300000</v>
      </c>
      <c r="CE76" s="22">
        <f t="shared" si="102"/>
        <v>0</v>
      </c>
      <c r="CF76" s="22">
        <f t="shared" si="96"/>
        <v>0</v>
      </c>
      <c r="CG76" s="22">
        <f t="shared" si="103"/>
        <v>0</v>
      </c>
      <c r="CI76" s="89">
        <f t="shared" si="97"/>
        <v>0.74109999999999998</v>
      </c>
      <c r="CJ76" s="22">
        <f t="shared" si="98"/>
        <v>0</v>
      </c>
      <c r="CK76" s="15">
        <f t="shared" si="104"/>
        <v>0</v>
      </c>
      <c r="CM76" s="22">
        <f t="shared" si="105"/>
        <v>0</v>
      </c>
      <c r="CN76" s="15">
        <f t="shared" si="111"/>
        <v>0</v>
      </c>
    </row>
    <row r="77" spans="1:92">
      <c r="A77" s="25">
        <v>2008</v>
      </c>
      <c r="B77" s="80">
        <v>39448</v>
      </c>
      <c r="C77" s="81">
        <f t="shared" si="72"/>
        <v>2.2244000000000002</v>
      </c>
      <c r="D77" s="82">
        <f t="shared" si="106"/>
        <v>2.2911320000000002</v>
      </c>
      <c r="E77" s="73">
        <f t="shared" si="54"/>
        <v>0</v>
      </c>
      <c r="F77" s="19">
        <f t="shared" si="70"/>
        <v>0</v>
      </c>
      <c r="G77" s="19">
        <f t="shared" si="56"/>
        <v>0</v>
      </c>
      <c r="H77" s="19">
        <f t="shared" si="71"/>
        <v>0</v>
      </c>
      <c r="I77" s="62"/>
      <c r="J77" s="15" t="str">
        <f t="shared" si="112"/>
        <v xml:space="preserve"> </v>
      </c>
      <c r="K77" s="15">
        <f>IF(B77&lt;=Dane_kredytowe!F$9,0,K76+1)</f>
        <v>0</v>
      </c>
      <c r="L77" s="83">
        <f t="shared" si="73"/>
        <v>2.7799999999999998E-2</v>
      </c>
      <c r="M77" s="84">
        <f>L77+Dane_kredytowe!F$12</f>
        <v>5.7799999999999997E-2</v>
      </c>
      <c r="N77" s="79">
        <f>MAX(Dane_kredytowe!F$17+SUM(AA$5:AA76)-SUM(X$5:X77)+SUM(W$5:W77),0)</f>
        <v>95134.46</v>
      </c>
      <c r="O77" s="85">
        <f>MAX(Dane_kredytowe!F$8+SUM(V$5:V76)-SUM(S$5:S77)+SUM(R$5:R76),0)</f>
        <v>300000</v>
      </c>
      <c r="P77" s="67">
        <f t="shared" si="59"/>
        <v>360</v>
      </c>
      <c r="Q77" s="127" t="str">
        <f>IF(AND(K77&gt;0,K77&lt;=Dane_kredytowe!F$16),"tak","nie")</f>
        <v>nie</v>
      </c>
      <c r="R77" s="69"/>
      <c r="S77" s="86">
        <f>IF(Dane_kredytowe!F$19=B77,O76+V76,_xlfn.XLOOKUP(B77,Dane_kredytowe!M$9:M$18,Dane_kredytowe!N$9:N$18,0))</f>
        <v>0</v>
      </c>
      <c r="T77" s="71">
        <f t="shared" si="74"/>
        <v>0</v>
      </c>
      <c r="U77" s="72">
        <f>IF(Q77="tak",T77,IF(P77-SUM(AB$5:AB77)+1&gt;0,IF(Dane_kredytowe!F$9&lt;B77,IF(SUM(AB$5:AB77)-Dane_kredytowe!F$16+1&gt;0,PMT(M77/12,P77+1-SUM(AB$5:AB77),O77),T77),0),0))</f>
        <v>0</v>
      </c>
      <c r="V77" s="72">
        <f t="shared" si="99"/>
        <v>0</v>
      </c>
      <c r="W77" s="19" t="str">
        <f t="shared" si="100"/>
        <v xml:space="preserve"> </v>
      </c>
      <c r="X77" s="19">
        <f t="shared" si="75"/>
        <v>0</v>
      </c>
      <c r="Y77" s="73">
        <f t="shared" si="76"/>
        <v>0</v>
      </c>
      <c r="Z77" s="19">
        <f>IF(P77-SUM(AB$5:AB77)+1&gt;0,IF(Dane_kredytowe!F$9&lt;B77,IF(SUM(AB$5:AB77)-Dane_kredytowe!F$16+1&gt;0,PMT(M77/12,P77+1-SUM(AB$5:AB77),N77),Y77),0),0)</f>
        <v>0</v>
      </c>
      <c r="AA77" s="19">
        <f t="shared" si="68"/>
        <v>0</v>
      </c>
      <c r="AB77" s="20" t="str">
        <f>IF(AND(Dane_kredytowe!F$9&lt;B77,SUM(AB$5:AB76)&lt;P76),1," ")</f>
        <v xml:space="preserve"> </v>
      </c>
      <c r="AD77" s="75">
        <f>IF(OR(B77&lt;Dane_kredytowe!F$15,Dane_kredytowe!F$15=""),-F77+S77,0)</f>
        <v>0</v>
      </c>
      <c r="AE77" s="75">
        <f t="shared" si="77"/>
        <v>0</v>
      </c>
      <c r="AG77" s="22">
        <f>Dane_kredytowe!F$17-SUM(AI$5:AI76)+SUM(W$42:W77)-SUM(X$42:X77)</f>
        <v>95134.46</v>
      </c>
      <c r="AH77" s="22">
        <f t="shared" si="78"/>
        <v>0</v>
      </c>
      <c r="AI77" s="22">
        <f t="shared" si="79"/>
        <v>0</v>
      </c>
      <c r="AJ77" s="22">
        <f t="shared" si="61"/>
        <v>0</v>
      </c>
      <c r="AK77" s="22">
        <f t="shared" si="80"/>
        <v>0</v>
      </c>
      <c r="AL77" s="22">
        <f>Dane_kredytowe!F$8-SUM(AN$5:AN76)+SUM(R$42:R76)-SUM(S$42:S77)</f>
        <v>300000</v>
      </c>
      <c r="AM77" s="22">
        <f t="shared" si="81"/>
        <v>0</v>
      </c>
      <c r="AN77" s="22">
        <f t="shared" si="82"/>
        <v>0</v>
      </c>
      <c r="AO77" s="22">
        <f t="shared" si="62"/>
        <v>0</v>
      </c>
      <c r="AP77" s="22">
        <f t="shared" si="63"/>
        <v>0</v>
      </c>
      <c r="AR77" s="87">
        <f t="shared" si="83"/>
        <v>39448</v>
      </c>
      <c r="AS77" s="23">
        <f>AS$5+SUM(AV$5:AV76)-SUM(X$5:X77)+SUM(W$5:W77)</f>
        <v>139056.27143784185</v>
      </c>
      <c r="AT77" s="22">
        <f t="shared" si="84"/>
        <v>0</v>
      </c>
      <c r="AU77" s="22">
        <f>IF(AB77=1,IF(Q77="tak",AT77,PMT(M77/12,P77+1-SUM(AB$5:AB77),AS77)),0)</f>
        <v>0</v>
      </c>
      <c r="AV77" s="22">
        <f t="shared" si="64"/>
        <v>0</v>
      </c>
      <c r="AW77" s="22">
        <f t="shared" si="85"/>
        <v>0</v>
      </c>
      <c r="AY77" s="23">
        <f>AY$5+SUM(BA$5:BA76)+SUM(W$5:W76)-SUM(X$5:X76)</f>
        <v>139056.27143784185</v>
      </c>
      <c r="AZ77" s="23">
        <f t="shared" si="86"/>
        <v>0</v>
      </c>
      <c r="BA77" s="23">
        <f t="shared" si="87"/>
        <v>0</v>
      </c>
      <c r="BB77" s="23">
        <f t="shared" si="65"/>
        <v>0</v>
      </c>
      <c r="BC77" s="23">
        <f t="shared" si="88"/>
        <v>0</v>
      </c>
      <c r="BE77" s="88">
        <f t="shared" si="89"/>
        <v>5.6399999999999999E-2</v>
      </c>
      <c r="BF77" s="89">
        <f>BE77+Dane_kredytowe!F$12</f>
        <v>8.6400000000000005E-2</v>
      </c>
      <c r="BG77" s="23">
        <f>BG$5+SUM(BH$5:BH76)+SUM(R$5:R76)-SUM(S$5:S76)</f>
        <v>300000</v>
      </c>
      <c r="BH77" s="22">
        <f t="shared" si="69"/>
        <v>0</v>
      </c>
      <c r="BI77" s="22">
        <f t="shared" si="67"/>
        <v>0</v>
      </c>
      <c r="BJ77" s="22">
        <f>IF(U77&lt;0,PMT(BF77/12,Dane_kredytowe!F$13-SUM(AB$5:AB77)+1,BG77),0)</f>
        <v>0</v>
      </c>
      <c r="BL77" s="23">
        <f>BL$5+SUM(BN$5:BN76)+SUM(R$5:R76)-SUM(S$5:S76)</f>
        <v>300000</v>
      </c>
      <c r="BM77" s="23">
        <f t="shared" si="90"/>
        <v>0</v>
      </c>
      <c r="BN77" s="23">
        <f t="shared" si="91"/>
        <v>0</v>
      </c>
      <c r="BO77" s="23">
        <f t="shared" si="92"/>
        <v>0</v>
      </c>
      <c r="BQ77" s="89">
        <f t="shared" si="93"/>
        <v>7.3099999999999998E-2</v>
      </c>
      <c r="BR77" s="23">
        <f>BR$5+SUM(BS$5:BS76)+SUM(R$5:R76)-SUM(S$5:S76)+SUM(BV$5:BV76)</f>
        <v>300000</v>
      </c>
      <c r="BS77" s="22">
        <f t="shared" si="107"/>
        <v>0</v>
      </c>
      <c r="BT77" s="22">
        <f t="shared" si="108"/>
        <v>0</v>
      </c>
      <c r="BU77" s="22">
        <f>IF(U77&lt;0,PMT(BQ77/12,Dane_kredytowe!F$13-SUM(AB$5:AB77)+1,BR77),0)</f>
        <v>0</v>
      </c>
      <c r="BV77" s="22">
        <f t="shared" si="101"/>
        <v>0</v>
      </c>
      <c r="BX77" s="23">
        <f>BX$5+SUM(BZ$5:BZ76)+SUM(R$5:R76)-SUM(S$5:S76)+SUM(CB$5,CB76)</f>
        <v>300000</v>
      </c>
      <c r="BY77" s="22">
        <f t="shared" si="94"/>
        <v>0</v>
      </c>
      <c r="BZ77" s="22">
        <f t="shared" si="95"/>
        <v>0</v>
      </c>
      <c r="CA77" s="22">
        <f t="shared" si="109"/>
        <v>0</v>
      </c>
      <c r="CB77" s="22">
        <f t="shared" si="110"/>
        <v>0</v>
      </c>
      <c r="CD77" s="22">
        <f>CD$5+SUM(CE$5:CE76)+SUM(R$5:R76)-SUM(S$5:S76)-SUM(CF$5:CF76)</f>
        <v>300000</v>
      </c>
      <c r="CE77" s="22">
        <f t="shared" si="102"/>
        <v>0</v>
      </c>
      <c r="CF77" s="22">
        <f t="shared" si="96"/>
        <v>0</v>
      </c>
      <c r="CG77" s="22">
        <f t="shared" si="103"/>
        <v>0</v>
      </c>
      <c r="CI77" s="89">
        <f t="shared" si="97"/>
        <v>0.72899999999999998</v>
      </c>
      <c r="CJ77" s="22">
        <f t="shared" si="98"/>
        <v>0</v>
      </c>
      <c r="CK77" s="15">
        <f t="shared" si="104"/>
        <v>0</v>
      </c>
      <c r="CM77" s="22">
        <f t="shared" si="105"/>
        <v>0</v>
      </c>
      <c r="CN77" s="15">
        <f t="shared" si="111"/>
        <v>0</v>
      </c>
    </row>
    <row r="78" spans="1:92">
      <c r="A78" s="25"/>
      <c r="B78" s="80">
        <v>39479</v>
      </c>
      <c r="C78" s="81">
        <f t="shared" si="72"/>
        <v>2.2277999999999998</v>
      </c>
      <c r="D78" s="82">
        <f t="shared" si="106"/>
        <v>2.2946339999999998</v>
      </c>
      <c r="E78" s="73">
        <f t="shared" si="54"/>
        <v>0</v>
      </c>
      <c r="F78" s="19">
        <f t="shared" si="70"/>
        <v>0</v>
      </c>
      <c r="G78" s="19">
        <f t="shared" si="56"/>
        <v>0</v>
      </c>
      <c r="H78" s="19">
        <f t="shared" si="71"/>
        <v>0</v>
      </c>
      <c r="I78" s="62"/>
      <c r="J78" s="15" t="str">
        <f t="shared" si="112"/>
        <v xml:space="preserve"> </v>
      </c>
      <c r="K78" s="15">
        <f>IF(B78&lt;=Dane_kredytowe!F$9,0,K77+1)</f>
        <v>0</v>
      </c>
      <c r="L78" s="83">
        <f t="shared" si="73"/>
        <v>2.6599999999999999E-2</v>
      </c>
      <c r="M78" s="84">
        <f>L78+Dane_kredytowe!F$12</f>
        <v>5.6599999999999998E-2</v>
      </c>
      <c r="N78" s="79">
        <f>MAX(Dane_kredytowe!F$17+SUM(AA$5:AA77)-SUM(X$5:X78)+SUM(W$5:W78),0)</f>
        <v>95134.46</v>
      </c>
      <c r="O78" s="85">
        <f>MAX(Dane_kredytowe!F$8+SUM(V$5:V77)-SUM(S$5:S78)+SUM(R$5:R77),0)</f>
        <v>300000</v>
      </c>
      <c r="P78" s="67">
        <f t="shared" si="59"/>
        <v>360</v>
      </c>
      <c r="Q78" s="127" t="str">
        <f>IF(AND(K78&gt;0,K78&lt;=Dane_kredytowe!F$16),"tak","nie")</f>
        <v>nie</v>
      </c>
      <c r="R78" s="69"/>
      <c r="S78" s="86">
        <f>IF(Dane_kredytowe!F$19=B78,O77+V77,_xlfn.XLOOKUP(B78,Dane_kredytowe!M$9:M$18,Dane_kredytowe!N$9:N$18,0))</f>
        <v>0</v>
      </c>
      <c r="T78" s="71">
        <f t="shared" si="74"/>
        <v>0</v>
      </c>
      <c r="U78" s="72">
        <f>IF(Q78="tak",T78,IF(P78-SUM(AB$5:AB78)+1&gt;0,IF(Dane_kredytowe!F$9&lt;B78,IF(SUM(AB$5:AB78)-Dane_kredytowe!F$16+1&gt;0,PMT(M78/12,P78+1-SUM(AB$5:AB78),O78),T78),0),0))</f>
        <v>0</v>
      </c>
      <c r="V78" s="72">
        <f t="shared" si="99"/>
        <v>0</v>
      </c>
      <c r="W78" s="19" t="str">
        <f t="shared" si="100"/>
        <v xml:space="preserve"> </v>
      </c>
      <c r="X78" s="19">
        <f>IF(S78&gt;0,S78/D78,0)</f>
        <v>0</v>
      </c>
      <c r="Y78" s="73">
        <f t="shared" si="76"/>
        <v>0</v>
      </c>
      <c r="Z78" s="19">
        <f>IF(P78-SUM(AB$5:AB78)+1&gt;0,IF(Dane_kredytowe!F$9&lt;B78,IF(SUM(AB$5:AB78)-Dane_kredytowe!F$16+1&gt;0,PMT(M78/12,P78+1-SUM(AB$5:AB78),N78),Y78),0),0)</f>
        <v>0</v>
      </c>
      <c r="AA78" s="19">
        <f t="shared" si="68"/>
        <v>0</v>
      </c>
      <c r="AB78" s="20" t="str">
        <f>IF(AND(Dane_kredytowe!F$9&lt;B78,SUM(AB$5:AB77)&lt;P77),1," ")</f>
        <v xml:space="preserve"> </v>
      </c>
      <c r="AD78" s="75">
        <f>IF(OR(B78&lt;Dane_kredytowe!F$15,Dane_kredytowe!F$15=""),-F78+S78,0)</f>
        <v>0</v>
      </c>
      <c r="AE78" s="75">
        <f t="shared" si="77"/>
        <v>0</v>
      </c>
      <c r="AG78" s="22">
        <f>Dane_kredytowe!F$17-SUM(AI$5:AI77)+SUM(W$42:W78)-SUM(X$42:X78)</f>
        <v>95134.46</v>
      </c>
      <c r="AH78" s="22">
        <f t="shared" si="78"/>
        <v>0</v>
      </c>
      <c r="AI78" s="22">
        <f t="shared" si="79"/>
        <v>0</v>
      </c>
      <c r="AJ78" s="22">
        <f t="shared" si="61"/>
        <v>0</v>
      </c>
      <c r="AK78" s="22">
        <f t="shared" si="80"/>
        <v>0</v>
      </c>
      <c r="AL78" s="22">
        <f>Dane_kredytowe!F$8-SUM(AN$5:AN77)+SUM(R$42:R77)-SUM(S$42:S78)</f>
        <v>300000</v>
      </c>
      <c r="AM78" s="22">
        <f t="shared" si="81"/>
        <v>0</v>
      </c>
      <c r="AN78" s="22">
        <f t="shared" si="82"/>
        <v>0</v>
      </c>
      <c r="AO78" s="22">
        <f t="shared" si="62"/>
        <v>0</v>
      </c>
      <c r="AP78" s="22">
        <f t="shared" si="63"/>
        <v>0</v>
      </c>
      <c r="AR78" s="87">
        <f t="shared" si="83"/>
        <v>39479</v>
      </c>
      <c r="AS78" s="23">
        <f>AS$5+SUM(AV$5:AV77)-SUM(X$5:X78)+SUM(W$5:W78)</f>
        <v>139056.27143784185</v>
      </c>
      <c r="AT78" s="22">
        <f t="shared" si="84"/>
        <v>0</v>
      </c>
      <c r="AU78" s="22">
        <f>IF(AB78=1,IF(Q78="tak",AT78,PMT(M78/12,P78+1-SUM(AB$5:AB78),AS78)),0)</f>
        <v>0</v>
      </c>
      <c r="AV78" s="22">
        <f t="shared" si="64"/>
        <v>0</v>
      </c>
      <c r="AW78" s="22">
        <f t="shared" si="85"/>
        <v>0</v>
      </c>
      <c r="AY78" s="23">
        <f>AY$5+SUM(BA$5:BA77)+SUM(W$5:W77)-SUM(X$5:X77)</f>
        <v>139056.27143784185</v>
      </c>
      <c r="AZ78" s="23">
        <f t="shared" si="86"/>
        <v>0</v>
      </c>
      <c r="BA78" s="23">
        <f t="shared" si="87"/>
        <v>0</v>
      </c>
      <c r="BB78" s="23">
        <f t="shared" si="65"/>
        <v>0</v>
      </c>
      <c r="BC78" s="23">
        <f t="shared" si="88"/>
        <v>0</v>
      </c>
      <c r="BE78" s="88">
        <f t="shared" si="89"/>
        <v>5.74E-2</v>
      </c>
      <c r="BF78" s="89">
        <f>BE78+Dane_kredytowe!F$12</f>
        <v>8.7400000000000005E-2</v>
      </c>
      <c r="BG78" s="23">
        <f>BG$5+SUM(BH$5:BH77)+SUM(R$5:R77)-SUM(S$5:S77)</f>
        <v>300000</v>
      </c>
      <c r="BH78" s="22">
        <f t="shared" si="69"/>
        <v>0</v>
      </c>
      <c r="BI78" s="22">
        <f t="shared" si="67"/>
        <v>0</v>
      </c>
      <c r="BJ78" s="22">
        <f>IF(U78&lt;0,PMT(BF78/12,Dane_kredytowe!F$13-SUM(AB$5:AB78)+1,BG78),0)</f>
        <v>0</v>
      </c>
      <c r="BL78" s="23">
        <f>BL$5+SUM(BN$5:BN77)+SUM(R$5:R77)-SUM(S$5:S77)</f>
        <v>300000</v>
      </c>
      <c r="BM78" s="23">
        <f t="shared" si="90"/>
        <v>0</v>
      </c>
      <c r="BN78" s="23">
        <f t="shared" si="91"/>
        <v>0</v>
      </c>
      <c r="BO78" s="23">
        <f t="shared" si="92"/>
        <v>0</v>
      </c>
      <c r="BQ78" s="89">
        <f t="shared" si="93"/>
        <v>7.4099999999999999E-2</v>
      </c>
      <c r="BR78" s="23">
        <f>BR$5+SUM(BS$5:BS77)+SUM(R$5:R77)-SUM(S$5:S77)+SUM(BV$5:BV77)</f>
        <v>300000</v>
      </c>
      <c r="BS78" s="22">
        <f t="shared" si="107"/>
        <v>0</v>
      </c>
      <c r="BT78" s="22">
        <f t="shared" si="108"/>
        <v>0</v>
      </c>
      <c r="BU78" s="22">
        <f>IF(U78&lt;0,PMT(BQ78/12,Dane_kredytowe!F$13-SUM(AB$5:AB78)+1,BR78),0)</f>
        <v>0</v>
      </c>
      <c r="BV78" s="22">
        <f t="shared" si="101"/>
        <v>0</v>
      </c>
      <c r="BX78" s="23">
        <f>BX$5+SUM(BZ$5:BZ77)+SUM(R$5:R77)-SUM(S$5:S77)+SUM(CB$5,CB77)</f>
        <v>300000</v>
      </c>
      <c r="BY78" s="22">
        <f t="shared" si="94"/>
        <v>0</v>
      </c>
      <c r="BZ78" s="22">
        <f t="shared" si="95"/>
        <v>0</v>
      </c>
      <c r="CA78" s="22">
        <f t="shared" si="109"/>
        <v>0</v>
      </c>
      <c r="CB78" s="22">
        <f t="shared" si="110"/>
        <v>0</v>
      </c>
      <c r="CD78" s="22">
        <f>CD$5+SUM(CE$5:CE77)+SUM(R$5:R77)-SUM(S$5:S77)-SUM(CF$5:CF77)</f>
        <v>300000</v>
      </c>
      <c r="CE78" s="22">
        <f t="shared" si="102"/>
        <v>0</v>
      </c>
      <c r="CF78" s="22">
        <f t="shared" si="96"/>
        <v>0</v>
      </c>
      <c r="CG78" s="22">
        <f t="shared" si="103"/>
        <v>0</v>
      </c>
      <c r="CI78" s="89">
        <f t="shared" si="97"/>
        <v>0.72209999999999996</v>
      </c>
      <c r="CJ78" s="22">
        <f t="shared" si="98"/>
        <v>0</v>
      </c>
      <c r="CK78" s="15">
        <f t="shared" si="104"/>
        <v>0</v>
      </c>
      <c r="CM78" s="22">
        <f>F78+S78+CM77</f>
        <v>0</v>
      </c>
      <c r="CN78" s="15">
        <f t="shared" si="111"/>
        <v>0</v>
      </c>
    </row>
    <row r="79" spans="1:92">
      <c r="A79" s="25"/>
      <c r="B79" s="80">
        <v>39508</v>
      </c>
      <c r="C79" s="81">
        <f t="shared" si="72"/>
        <v>2.2509999999999999</v>
      </c>
      <c r="D79" s="82">
        <f t="shared" si="106"/>
        <v>2.31853</v>
      </c>
      <c r="E79" s="73">
        <f t="shared" si="54"/>
        <v>0</v>
      </c>
      <c r="F79" s="19">
        <f t="shared" si="70"/>
        <v>0</v>
      </c>
      <c r="G79" s="19">
        <f t="shared" si="56"/>
        <v>0</v>
      </c>
      <c r="H79" s="19">
        <f t="shared" si="71"/>
        <v>0</v>
      </c>
      <c r="I79" s="62"/>
      <c r="J79" s="15" t="str">
        <f t="shared" si="112"/>
        <v xml:space="preserve"> </v>
      </c>
      <c r="K79" s="15">
        <f>IF(B79&lt;=Dane_kredytowe!F$9,0,K78+1)</f>
        <v>0</v>
      </c>
      <c r="L79" s="83">
        <f t="shared" si="73"/>
        <v>2.7900000000000001E-2</v>
      </c>
      <c r="M79" s="84">
        <f>L79+Dane_kredytowe!F$12</f>
        <v>5.79E-2</v>
      </c>
      <c r="N79" s="79">
        <f>MAX(Dane_kredytowe!F$17+SUM(AA$5:AA78)-SUM(X$5:X79)+SUM(W$5:W79),0)</f>
        <v>95134.46</v>
      </c>
      <c r="O79" s="85">
        <f>MAX(Dane_kredytowe!F$8+SUM(V$5:V78)-SUM(S$5:S79)+SUM(R$5:R78),0)</f>
        <v>300000</v>
      </c>
      <c r="P79" s="67">
        <f t="shared" si="59"/>
        <v>360</v>
      </c>
      <c r="Q79" s="127" t="str">
        <f>IF(AND(K79&gt;0,K79&lt;=Dane_kredytowe!F$16),"tak","nie")</f>
        <v>nie</v>
      </c>
      <c r="R79" s="69"/>
      <c r="S79" s="86">
        <f>IF(Dane_kredytowe!F$19=B79,O78+V78,_xlfn.XLOOKUP(B79,Dane_kredytowe!M$9:M$18,Dane_kredytowe!N$9:N$18,0))</f>
        <v>0</v>
      </c>
      <c r="T79" s="71">
        <f t="shared" si="74"/>
        <v>0</v>
      </c>
      <c r="U79" s="72">
        <f>IF(Q79="tak",T79,IF(P79-SUM(AB$5:AB79)+1&gt;0,IF(Dane_kredytowe!F$9&lt;B79,IF(SUM(AB$5:AB79)-Dane_kredytowe!F$16+1&gt;0,PMT(M79/12,P79+1-SUM(AB$5:AB79),O79),T79),0),0))</f>
        <v>0</v>
      </c>
      <c r="V79" s="72">
        <f t="shared" si="99"/>
        <v>0</v>
      </c>
      <c r="W79" s="19" t="str">
        <f t="shared" si="100"/>
        <v xml:space="preserve"> </v>
      </c>
      <c r="X79" s="19">
        <f t="shared" ref="X79:X142" si="113">IF(S79&gt;0,S79/D79,0)</f>
        <v>0</v>
      </c>
      <c r="Y79" s="73">
        <f t="shared" si="76"/>
        <v>0</v>
      </c>
      <c r="Z79" s="19">
        <f>IF(P79-SUM(AB$5:AB79)+1&gt;0,IF(Dane_kredytowe!F$9&lt;B79,IF(SUM(AB$5:AB79)-Dane_kredytowe!F$16+1&gt;0,PMT(M79/12,P79+1-SUM(AB$5:AB79),N79),Y79),0),0)</f>
        <v>0</v>
      </c>
      <c r="AA79" s="19">
        <f t="shared" si="68"/>
        <v>0</v>
      </c>
      <c r="AB79" s="20" t="str">
        <f>IF(AND(Dane_kredytowe!F$9&lt;B79,SUM(AB$5:AB78)&lt;P78),1," ")</f>
        <v xml:space="preserve"> </v>
      </c>
      <c r="AD79" s="75">
        <f>IF(OR(B79&lt;Dane_kredytowe!F$15,Dane_kredytowe!F$15=""),-F79+S79,0)</f>
        <v>0</v>
      </c>
      <c r="AE79" s="75">
        <f t="shared" si="77"/>
        <v>0</v>
      </c>
      <c r="AG79" s="22">
        <f>Dane_kredytowe!F$17-SUM(AI$5:AI78)+SUM(W$42:W79)-SUM(X$42:X79)</f>
        <v>95134.46</v>
      </c>
      <c r="AH79" s="22">
        <f t="shared" si="78"/>
        <v>0</v>
      </c>
      <c r="AI79" s="22">
        <f t="shared" si="79"/>
        <v>0</v>
      </c>
      <c r="AJ79" s="22">
        <f t="shared" si="61"/>
        <v>0</v>
      </c>
      <c r="AK79" s="22">
        <f t="shared" si="80"/>
        <v>0</v>
      </c>
      <c r="AL79" s="22">
        <f>Dane_kredytowe!F$8-SUM(AN$5:AN78)+SUM(R$42:R78)-SUM(S$42:S79)</f>
        <v>300000</v>
      </c>
      <c r="AM79" s="22">
        <f t="shared" si="81"/>
        <v>0</v>
      </c>
      <c r="AN79" s="22">
        <f t="shared" si="82"/>
        <v>0</v>
      </c>
      <c r="AO79" s="22">
        <f t="shared" si="62"/>
        <v>0</v>
      </c>
      <c r="AP79" s="22">
        <f t="shared" si="63"/>
        <v>0</v>
      </c>
      <c r="AR79" s="87">
        <f t="shared" si="83"/>
        <v>39508</v>
      </c>
      <c r="AS79" s="23">
        <f>AS$5+SUM(AV$5:AV78)-SUM(X$5:X79)+SUM(W$5:W79)</f>
        <v>139056.27143784185</v>
      </c>
      <c r="AT79" s="22">
        <f t="shared" si="84"/>
        <v>0</v>
      </c>
      <c r="AU79" s="22">
        <f>IF(AB79=1,IF(Q79="tak",AT79,PMT(M79/12,P79+1-SUM(AB$5:AB79),AS79)),0)</f>
        <v>0</v>
      </c>
      <c r="AV79" s="22">
        <f t="shared" si="64"/>
        <v>0</v>
      </c>
      <c r="AW79" s="22">
        <f t="shared" si="85"/>
        <v>0</v>
      </c>
      <c r="AY79" s="23">
        <f>AY$5+SUM(BA$5:BA78)+SUM(W$5:W78)-SUM(X$5:X78)</f>
        <v>139056.27143784185</v>
      </c>
      <c r="AZ79" s="23">
        <f t="shared" si="86"/>
        <v>0</v>
      </c>
      <c r="BA79" s="23">
        <f t="shared" si="87"/>
        <v>0</v>
      </c>
      <c r="BB79" s="23">
        <f t="shared" si="65"/>
        <v>0</v>
      </c>
      <c r="BC79" s="23">
        <f t="shared" si="88"/>
        <v>0</v>
      </c>
      <c r="BE79" s="88">
        <f t="shared" si="89"/>
        <v>6.0299999999999999E-2</v>
      </c>
      <c r="BF79" s="89">
        <f>BE79+Dane_kredytowe!F$12</f>
        <v>9.0299999999999991E-2</v>
      </c>
      <c r="BG79" s="23">
        <f>BG$5+SUM(BH$5:BH78)+SUM(R$5:R78)-SUM(S$5:S78)</f>
        <v>300000</v>
      </c>
      <c r="BH79" s="22">
        <f t="shared" si="69"/>
        <v>0</v>
      </c>
      <c r="BI79" s="22">
        <f t="shared" si="67"/>
        <v>0</v>
      </c>
      <c r="BJ79" s="22">
        <f>IF(U79&lt;0,PMT(BF79/12,Dane_kredytowe!F$13-SUM(AB$5:AB79)+1,BG79),0)</f>
        <v>0</v>
      </c>
      <c r="BL79" s="23">
        <f>BL$5+SUM(BN$5:BN78)+SUM(R$5:R78)-SUM(S$5:S78)</f>
        <v>300000</v>
      </c>
      <c r="BM79" s="23">
        <f t="shared" si="90"/>
        <v>0</v>
      </c>
      <c r="BN79" s="23">
        <f t="shared" si="91"/>
        <v>0</v>
      </c>
      <c r="BO79" s="23">
        <f t="shared" si="92"/>
        <v>0</v>
      </c>
      <c r="BQ79" s="89">
        <f t="shared" si="93"/>
        <v>7.6999999999999999E-2</v>
      </c>
      <c r="BR79" s="23">
        <f>BR$5+SUM(BS$5:BS78)+SUM(R$5:R78)-SUM(S$5:S78)+SUM(BV$5:BV78)</f>
        <v>300000</v>
      </c>
      <c r="BS79" s="22">
        <f t="shared" si="107"/>
        <v>0</v>
      </c>
      <c r="BT79" s="22">
        <f t="shared" si="108"/>
        <v>0</v>
      </c>
      <c r="BU79" s="22">
        <f>IF(U79&lt;0,PMT(BQ79/12,Dane_kredytowe!F$13-SUM(AB$5:AB79)+1,BR79),0)</f>
        <v>0</v>
      </c>
      <c r="BV79" s="22">
        <f t="shared" si="101"/>
        <v>0</v>
      </c>
      <c r="BX79" s="23">
        <f>BX$5+SUM(BZ$5:BZ78)+SUM(R$5:R78)-SUM(S$5:S78)+SUM(CB$5,CB78)</f>
        <v>300000</v>
      </c>
      <c r="BY79" s="22">
        <f t="shared" si="94"/>
        <v>0</v>
      </c>
      <c r="BZ79" s="22">
        <f t="shared" si="95"/>
        <v>0</v>
      </c>
      <c r="CA79" s="22">
        <f t="shared" si="109"/>
        <v>0</v>
      </c>
      <c r="CB79" s="22">
        <f t="shared" si="110"/>
        <v>0</v>
      </c>
      <c r="CD79" s="22">
        <f>CD$5+SUM(CE$5:CE78)+SUM(R$5:R78)-SUM(S$5:S78)-SUM(CF$5:CF78)</f>
        <v>300000</v>
      </c>
      <c r="CE79" s="22">
        <f t="shared" si="102"/>
        <v>0</v>
      </c>
      <c r="CF79" s="22">
        <f t="shared" si="96"/>
        <v>0</v>
      </c>
      <c r="CG79" s="22">
        <f t="shared" si="103"/>
        <v>0</v>
      </c>
      <c r="CI79" s="89">
        <f t="shared" si="97"/>
        <v>0.71530000000000005</v>
      </c>
      <c r="CJ79" s="22">
        <f t="shared" si="98"/>
        <v>0</v>
      </c>
      <c r="CK79" s="15">
        <f t="shared" si="104"/>
        <v>0</v>
      </c>
      <c r="CM79" s="22">
        <f t="shared" si="105"/>
        <v>0</v>
      </c>
      <c r="CN79" s="15">
        <f t="shared" si="111"/>
        <v>0</v>
      </c>
    </row>
    <row r="80" spans="1:92">
      <c r="A80" s="25"/>
      <c r="B80" s="80">
        <v>39539</v>
      </c>
      <c r="C80" s="81">
        <f t="shared" si="72"/>
        <v>2.1574</v>
      </c>
      <c r="D80" s="82">
        <f t="shared" si="106"/>
        <v>2.2221220000000002</v>
      </c>
      <c r="E80" s="73">
        <f t="shared" si="54"/>
        <v>0</v>
      </c>
      <c r="F80" s="19">
        <f t="shared" si="70"/>
        <v>0</v>
      </c>
      <c r="G80" s="19">
        <f t="shared" si="56"/>
        <v>0</v>
      </c>
      <c r="H80" s="19">
        <f t="shared" si="71"/>
        <v>0</v>
      </c>
      <c r="I80" s="62"/>
      <c r="J80" s="15" t="str">
        <f t="shared" si="112"/>
        <v xml:space="preserve"> </v>
      </c>
      <c r="K80" s="15">
        <f>IF(B80&lt;=Dane_kredytowe!F$9,0,K79+1)</f>
        <v>0</v>
      </c>
      <c r="L80" s="83">
        <f t="shared" si="73"/>
        <v>2.8899999999999999E-2</v>
      </c>
      <c r="M80" s="84">
        <f>L80+Dane_kredytowe!F$12</f>
        <v>5.8899999999999994E-2</v>
      </c>
      <c r="N80" s="79">
        <f>MAX(Dane_kredytowe!F$17+SUM(AA$5:AA79)-SUM(X$5:X80)+SUM(W$5:W80),0)</f>
        <v>95134.46</v>
      </c>
      <c r="O80" s="85">
        <f>MAX(Dane_kredytowe!F$8+SUM(V$5:V79)-SUM(S$5:S80)+SUM(R$5:R79),0)</f>
        <v>300000</v>
      </c>
      <c r="P80" s="67">
        <f t="shared" si="59"/>
        <v>360</v>
      </c>
      <c r="Q80" s="127" t="str">
        <f>IF(AND(K80&gt;0,K80&lt;=Dane_kredytowe!F$16),"tak","nie")</f>
        <v>nie</v>
      </c>
      <c r="R80" s="69"/>
      <c r="S80" s="86">
        <f>IF(Dane_kredytowe!F$19=B80,O79+V79,_xlfn.XLOOKUP(B80,Dane_kredytowe!M$9:M$18,Dane_kredytowe!N$9:N$18,0))</f>
        <v>0</v>
      </c>
      <c r="T80" s="71">
        <f t="shared" si="74"/>
        <v>0</v>
      </c>
      <c r="U80" s="72">
        <f>IF(Q80="tak",T80,IF(P80-SUM(AB$5:AB80)+1&gt;0,IF(Dane_kredytowe!F$9&lt;B80,IF(SUM(AB$5:AB80)-Dane_kredytowe!F$16+1&gt;0,PMT(M80/12,P80+1-SUM(AB$5:AB80),O80),T80),0),0))</f>
        <v>0</v>
      </c>
      <c r="V80" s="72">
        <f t="shared" si="99"/>
        <v>0</v>
      </c>
      <c r="W80" s="19" t="str">
        <f t="shared" si="100"/>
        <v xml:space="preserve"> </v>
      </c>
      <c r="X80" s="19">
        <f t="shared" si="113"/>
        <v>0</v>
      </c>
      <c r="Y80" s="73">
        <f t="shared" si="76"/>
        <v>0</v>
      </c>
      <c r="Z80" s="19">
        <f>IF(P80-SUM(AB$5:AB80)+1&gt;0,IF(Dane_kredytowe!F$9&lt;B80,IF(SUM(AB$5:AB80)-Dane_kredytowe!F$16+1&gt;0,PMT(M80/12,P80+1-SUM(AB$5:AB80),N80),Y80),0),0)</f>
        <v>0</v>
      </c>
      <c r="AA80" s="19">
        <f t="shared" si="68"/>
        <v>0</v>
      </c>
      <c r="AB80" s="20" t="str">
        <f>IF(AND(Dane_kredytowe!F$9&lt;B80,SUM(AB$5:AB79)&lt;P79),1," ")</f>
        <v xml:space="preserve"> </v>
      </c>
      <c r="AD80" s="75">
        <f>IF(OR(B80&lt;Dane_kredytowe!F$15,Dane_kredytowe!F$15=""),-F80+S80,0)</f>
        <v>0</v>
      </c>
      <c r="AE80" s="75">
        <f t="shared" si="77"/>
        <v>0</v>
      </c>
      <c r="AG80" s="22">
        <f>Dane_kredytowe!F$17-SUM(AI$5:AI79)+SUM(W$42:W80)-SUM(X$42:X80)</f>
        <v>95134.46</v>
      </c>
      <c r="AH80" s="22">
        <f t="shared" si="78"/>
        <v>0</v>
      </c>
      <c r="AI80" s="22">
        <f t="shared" si="79"/>
        <v>0</v>
      </c>
      <c r="AJ80" s="22">
        <f t="shared" si="61"/>
        <v>0</v>
      </c>
      <c r="AK80" s="22">
        <f t="shared" si="80"/>
        <v>0</v>
      </c>
      <c r="AL80" s="22">
        <f>Dane_kredytowe!F$8-SUM(AN$5:AN79)+SUM(R$42:R79)-SUM(S$42:S80)</f>
        <v>300000</v>
      </c>
      <c r="AM80" s="22">
        <f t="shared" si="81"/>
        <v>0</v>
      </c>
      <c r="AN80" s="22">
        <f t="shared" si="82"/>
        <v>0</v>
      </c>
      <c r="AO80" s="22">
        <f t="shared" si="62"/>
        <v>0</v>
      </c>
      <c r="AP80" s="22">
        <f t="shared" si="63"/>
        <v>0</v>
      </c>
      <c r="AR80" s="87">
        <f t="shared" si="83"/>
        <v>39539</v>
      </c>
      <c r="AS80" s="23">
        <f>AS$5+SUM(AV$5:AV79)-SUM(X$5:X80)+SUM(W$5:W80)</f>
        <v>139056.27143784185</v>
      </c>
      <c r="AT80" s="22">
        <f t="shared" si="84"/>
        <v>0</v>
      </c>
      <c r="AU80" s="22">
        <f>IF(AB80=1,IF(Q80="tak",AT80,PMT(M80/12,P80+1-SUM(AB$5:AB80),AS80)),0)</f>
        <v>0</v>
      </c>
      <c r="AV80" s="22">
        <f t="shared" si="64"/>
        <v>0</v>
      </c>
      <c r="AW80" s="22">
        <f t="shared" si="85"/>
        <v>0</v>
      </c>
      <c r="AY80" s="23">
        <f>AY$5+SUM(BA$5:BA79)+SUM(W$5:W79)-SUM(X$5:X79)</f>
        <v>139056.27143784185</v>
      </c>
      <c r="AZ80" s="23">
        <f t="shared" si="86"/>
        <v>0</v>
      </c>
      <c r="BA80" s="23">
        <f t="shared" si="87"/>
        <v>0</v>
      </c>
      <c r="BB80" s="23">
        <f t="shared" si="65"/>
        <v>0</v>
      </c>
      <c r="BC80" s="23">
        <f t="shared" si="88"/>
        <v>0</v>
      </c>
      <c r="BE80" s="88">
        <f t="shared" si="89"/>
        <v>6.2899999999999998E-2</v>
      </c>
      <c r="BF80" s="89">
        <f>BE80+Dane_kredytowe!F$12</f>
        <v>9.2899999999999996E-2</v>
      </c>
      <c r="BG80" s="23">
        <f>BG$5+SUM(BH$5:BH79)+SUM(R$5:R79)-SUM(S$5:S79)</f>
        <v>300000</v>
      </c>
      <c r="BH80" s="22">
        <f t="shared" si="69"/>
        <v>0</v>
      </c>
      <c r="BI80" s="22">
        <f t="shared" si="67"/>
        <v>0</v>
      </c>
      <c r="BJ80" s="22">
        <f>IF(U80&lt;0,PMT(BF80/12,Dane_kredytowe!F$13-SUM(AB$5:AB80)+1,BG80),0)</f>
        <v>0</v>
      </c>
      <c r="BL80" s="23">
        <f>BL$5+SUM(BN$5:BN79)+SUM(R$5:R79)-SUM(S$5:S79)</f>
        <v>300000</v>
      </c>
      <c r="BM80" s="23">
        <f t="shared" si="90"/>
        <v>0</v>
      </c>
      <c r="BN80" s="23">
        <f t="shared" si="91"/>
        <v>0</v>
      </c>
      <c r="BO80" s="23">
        <f t="shared" si="92"/>
        <v>0</v>
      </c>
      <c r="BQ80" s="89">
        <f t="shared" si="93"/>
        <v>7.9600000000000004E-2</v>
      </c>
      <c r="BR80" s="23">
        <f>BR$5+SUM(BS$5:BS79)+SUM(R$5:R79)-SUM(S$5:S79)+SUM(BV$5:BV79)</f>
        <v>300000</v>
      </c>
      <c r="BS80" s="22">
        <f t="shared" si="107"/>
        <v>0</v>
      </c>
      <c r="BT80" s="22">
        <f t="shared" si="108"/>
        <v>0</v>
      </c>
      <c r="BU80" s="22">
        <f>IF(U80&lt;0,PMT(BQ80/12,Dane_kredytowe!F$13-SUM(AB$5:AB80)+1,BR80),0)</f>
        <v>0</v>
      </c>
      <c r="BV80" s="22">
        <f t="shared" si="101"/>
        <v>0</v>
      </c>
      <c r="BX80" s="23">
        <f>BX$5+SUM(BZ$5:BZ79)+SUM(R$5:R79)-SUM(S$5:S79)+SUM(CB$5,CB79)</f>
        <v>300000</v>
      </c>
      <c r="BY80" s="22">
        <f t="shared" si="94"/>
        <v>0</v>
      </c>
      <c r="BZ80" s="22">
        <f t="shared" si="95"/>
        <v>0</v>
      </c>
      <c r="CA80" s="22">
        <f t="shared" si="109"/>
        <v>0</v>
      </c>
      <c r="CB80" s="22">
        <f t="shared" si="110"/>
        <v>0</v>
      </c>
      <c r="CD80" s="22">
        <f>CD$5+SUM(CE$5:CE79)+SUM(R$5:R79)-SUM(S$5:S79)-SUM(CF$5:CF79)</f>
        <v>300000</v>
      </c>
      <c r="CE80" s="22">
        <f t="shared" si="102"/>
        <v>0</v>
      </c>
      <c r="CF80" s="22">
        <f t="shared" si="96"/>
        <v>0</v>
      </c>
      <c r="CG80" s="22">
        <f t="shared" si="103"/>
        <v>0</v>
      </c>
      <c r="CI80" s="89">
        <f t="shared" si="97"/>
        <v>0.70840000000000003</v>
      </c>
      <c r="CJ80" s="22">
        <f t="shared" si="98"/>
        <v>0</v>
      </c>
      <c r="CK80" s="15">
        <f t="shared" si="104"/>
        <v>0</v>
      </c>
      <c r="CM80" s="22">
        <f t="shared" si="105"/>
        <v>0</v>
      </c>
      <c r="CN80" s="15">
        <f t="shared" si="111"/>
        <v>0</v>
      </c>
    </row>
    <row r="81" spans="1:92">
      <c r="A81" s="25"/>
      <c r="B81" s="80">
        <v>39569</v>
      </c>
      <c r="C81" s="81">
        <f t="shared" si="72"/>
        <v>2.0983999999999998</v>
      </c>
      <c r="D81" s="82">
        <f t="shared" si="106"/>
        <v>2.1613519999999999</v>
      </c>
      <c r="E81" s="73">
        <f t="shared" si="54"/>
        <v>-563.66861188890368</v>
      </c>
      <c r="F81" s="19">
        <f t="shared" si="70"/>
        <v>-1218.2862816433058</v>
      </c>
      <c r="G81" s="19">
        <f t="shared" si="56"/>
        <v>-1777.4903391123582</v>
      </c>
      <c r="H81" s="19">
        <f t="shared" si="71"/>
        <v>-559.20405746905249</v>
      </c>
      <c r="I81" s="62"/>
      <c r="J81" s="15" t="str">
        <f t="shared" si="112"/>
        <v>Ze względu na spadek kursu CHF, rata jest korzystniejsza niż bez klauzuli indeksacyjnej</v>
      </c>
      <c r="K81" s="15">
        <f>IF(B81&lt;=Dane_kredytowe!F$9,0,K80+1)</f>
        <v>1</v>
      </c>
      <c r="L81" s="83">
        <f t="shared" si="73"/>
        <v>2.8899999999999999E-2</v>
      </c>
      <c r="M81" s="84">
        <f>L81+Dane_kredytowe!F$12</f>
        <v>5.8899999999999994E-2</v>
      </c>
      <c r="N81" s="79">
        <f>MAX(Dane_kredytowe!F$17+SUM(AA$5:AA80)-SUM(X$5:X81)+SUM(W$5:W81),0)</f>
        <v>95134.46</v>
      </c>
      <c r="O81" s="85">
        <f>MAX(Dane_kredytowe!F$8+SUM(V$5:V80)-SUM(S$5:S81)+SUM(R$5:R80),0)</f>
        <v>300000</v>
      </c>
      <c r="P81" s="67">
        <f t="shared" si="59"/>
        <v>360</v>
      </c>
      <c r="Q81" s="127" t="str">
        <f>IF(AND(K81&gt;0,K81&lt;=Dane_kredytowe!F$16),"tak","nie")</f>
        <v>nie</v>
      </c>
      <c r="R81" s="69"/>
      <c r="S81" s="86">
        <f>IF(Dane_kredytowe!F$19=B81,O80+V80,_xlfn.XLOOKUP(B81,Dane_kredytowe!M$9:M$18,Dane_kredytowe!N$9:N$18,0))</f>
        <v>0</v>
      </c>
      <c r="T81" s="71">
        <f t="shared" si="74"/>
        <v>-1472.5</v>
      </c>
      <c r="U81" s="72">
        <f>IF(Q81="tak",T81,IF(P81-SUM(AB$5:AB81)+1&gt;0,IF(Dane_kredytowe!F$9&lt;B81,IF(SUM(AB$5:AB81)-Dane_kredytowe!F$16+1&gt;0,PMT(M81/12,P81+1-SUM(AB$5:AB81),O81),T81),0),0))</f>
        <v>-1777.4903391123582</v>
      </c>
      <c r="V81" s="72">
        <f t="shared" si="99"/>
        <v>-304.99033911235824</v>
      </c>
      <c r="W81" s="19" t="str">
        <f t="shared" si="100"/>
        <v xml:space="preserve"> </v>
      </c>
      <c r="X81" s="19">
        <f t="shared" si="113"/>
        <v>0</v>
      </c>
      <c r="Y81" s="73">
        <f t="shared" si="76"/>
        <v>-466.95164116666666</v>
      </c>
      <c r="Z81" s="19">
        <f>IF(P81-SUM(AB$5:AB81)+1&gt;0,IF(Dane_kredytowe!F$9&lt;B81,IF(SUM(AB$5:AB81)-Dane_kredytowe!F$16+1&gt;0,PMT(M81/12,P81+1-SUM(AB$5:AB81),N81),Y81),0),0)</f>
        <v>-563.66861188890368</v>
      </c>
      <c r="AA81" s="19">
        <f t="shared" si="68"/>
        <v>-96.716970722237022</v>
      </c>
      <c r="AB81" s="20">
        <f>IF(AND(Dane_kredytowe!F$9&lt;B81,SUM(AB$5:AB80)&lt;P80),1," ")</f>
        <v>1</v>
      </c>
      <c r="AD81" s="75">
        <f>IF(OR(B81&lt;Dane_kredytowe!F$15,Dane_kredytowe!F$15=""),-F81+S81,0)</f>
        <v>1218.2862816433058</v>
      </c>
      <c r="AE81" s="75">
        <f t="shared" si="77"/>
        <v>0</v>
      </c>
      <c r="AG81" s="22">
        <f>Dane_kredytowe!F$17-SUM(AI$5:AI80)+SUM(W$42:W81)-SUM(X$42:X81)</f>
        <v>95134.46</v>
      </c>
      <c r="AH81" s="22">
        <f t="shared" si="78"/>
        <v>466.95</v>
      </c>
      <c r="AI81" s="22">
        <f t="shared" si="79"/>
        <v>264.26</v>
      </c>
      <c r="AJ81" s="22">
        <f t="shared" si="61"/>
        <v>731.21</v>
      </c>
      <c r="AK81" s="22">
        <f t="shared" si="80"/>
        <v>1580.4</v>
      </c>
      <c r="AL81" s="22">
        <f>Dane_kredytowe!F$8-SUM(AN$5:AN80)+SUM(R$42:R80)-SUM(S$42:S81)</f>
        <v>300000</v>
      </c>
      <c r="AM81" s="22">
        <f t="shared" si="81"/>
        <v>1472.5</v>
      </c>
      <c r="AN81" s="22">
        <f t="shared" si="82"/>
        <v>833.33</v>
      </c>
      <c r="AO81" s="22">
        <f t="shared" si="62"/>
        <v>2305.83</v>
      </c>
      <c r="AP81" s="22">
        <f t="shared" si="63"/>
        <v>-725.42999999999984</v>
      </c>
      <c r="AR81" s="87">
        <f t="shared" si="83"/>
        <v>39569</v>
      </c>
      <c r="AS81" s="23">
        <f>AS$5+SUM(AV$5:AV80)-SUM(X$5:X81)+SUM(W$5:W81)</f>
        <v>139056.27143784185</v>
      </c>
      <c r="AT81" s="22">
        <f t="shared" si="84"/>
        <v>-682.53453230740695</v>
      </c>
      <c r="AU81" s="22">
        <f>IF(AB81=1,IF(Q81="tak",AT81,PMT(M81/12,P81+1-SUM(AB$5:AB81),AS81)),0)</f>
        <v>-823.90393024583216</v>
      </c>
      <c r="AV81" s="22">
        <f t="shared" si="64"/>
        <v>-141.36939793842521</v>
      </c>
      <c r="AW81" s="22">
        <f t="shared" si="85"/>
        <v>-1728.8800072278541</v>
      </c>
      <c r="AY81" s="23">
        <f>AY$5+SUM(BA$5:BA80)+SUM(W$5:W80)-SUM(X$5:X80)</f>
        <v>139056.27143784185</v>
      </c>
      <c r="AZ81" s="23">
        <f t="shared" si="86"/>
        <v>-682.53453230740695</v>
      </c>
      <c r="BA81" s="23">
        <f t="shared" si="87"/>
        <v>-386.27</v>
      </c>
      <c r="BB81" s="23">
        <f t="shared" si="65"/>
        <v>-1068.804532307407</v>
      </c>
      <c r="BC81" s="23">
        <f t="shared" si="88"/>
        <v>-2242.7794305938628</v>
      </c>
      <c r="BE81" s="88">
        <f t="shared" si="89"/>
        <v>6.4100000000000004E-2</v>
      </c>
      <c r="BF81" s="89">
        <f>BE81+Dane_kredytowe!F$12</f>
        <v>9.4100000000000003E-2</v>
      </c>
      <c r="BG81" s="23">
        <f>BG$5+SUM(BH$5:BH80)+SUM(R$5:R80)-SUM(S$5:S80)</f>
        <v>300000</v>
      </c>
      <c r="BH81" s="22">
        <f t="shared" si="69"/>
        <v>-150.38686559055213</v>
      </c>
      <c r="BI81" s="22">
        <f t="shared" si="67"/>
        <v>-2352.5</v>
      </c>
      <c r="BJ81" s="22">
        <f>IF(U81&lt;0,PMT(BF81/12,Dane_kredytowe!F$13-SUM(AB$5:AB81)+1,BG81),0)</f>
        <v>-2502.8868655905521</v>
      </c>
      <c r="BL81" s="23">
        <f>BL$5+SUM(BN$5:BN80)+SUM(R$5:R80)-SUM(S$5:S80)</f>
        <v>300000</v>
      </c>
      <c r="BM81" s="23">
        <f t="shared" si="90"/>
        <v>-2352.5</v>
      </c>
      <c r="BN81" s="23">
        <f t="shared" si="91"/>
        <v>-833.33333333333337</v>
      </c>
      <c r="BO81" s="23">
        <f t="shared" si="92"/>
        <v>-3185.8333333333335</v>
      </c>
      <c r="BQ81" s="89">
        <f t="shared" si="93"/>
        <v>8.0800000000000011E-2</v>
      </c>
      <c r="BR81" s="23">
        <f>BR$5+SUM(BS$5:BS80)+SUM(R$5:R80)-SUM(S$5:S80)+SUM(BV$5:BV80)</f>
        <v>300000</v>
      </c>
      <c r="BS81" s="22">
        <f t="shared" si="107"/>
        <v>-198.04750729342072</v>
      </c>
      <c r="BT81" s="22">
        <f t="shared" si="108"/>
        <v>-2020.0000000000002</v>
      </c>
      <c r="BU81" s="22">
        <f>IF(U81&lt;0,PMT(BQ81/12,Dane_kredytowe!F$13-SUM(AB$5:AB81)+1,BR81),0)</f>
        <v>-2218.0475072934209</v>
      </c>
      <c r="BV81" s="22">
        <f t="shared" si="101"/>
        <v>999.76122565011519</v>
      </c>
      <c r="BX81" s="23">
        <f>BX$5+SUM(BZ$5:BZ80)+SUM(R$5:R80)-SUM(S$5:S80)+SUM(CB$5,CB80)</f>
        <v>300000</v>
      </c>
      <c r="BY81" s="22">
        <f t="shared" si="94"/>
        <v>-2020.0000000000002</v>
      </c>
      <c r="BZ81" s="22">
        <f t="shared" si="95"/>
        <v>-833.33333333333337</v>
      </c>
      <c r="CA81" s="22">
        <f t="shared" si="109"/>
        <v>-2853.3333333333335</v>
      </c>
      <c r="CB81" s="22">
        <f t="shared" si="110"/>
        <v>1635.0470516900277</v>
      </c>
      <c r="CD81" s="22">
        <f>CD$5+SUM(CE$5:CE80)+SUM(R$5:R80)-SUM(S$5:S80)-SUM(CF$5:CF80)</f>
        <v>300000</v>
      </c>
      <c r="CE81" s="22">
        <f t="shared" si="102"/>
        <v>2020.0000000000002</v>
      </c>
      <c r="CF81" s="22">
        <f t="shared" si="96"/>
        <v>1218.2862816433058</v>
      </c>
      <c r="CG81" s="22">
        <f t="shared" si="103"/>
        <v>-801.71371835669447</v>
      </c>
      <c r="CI81" s="89">
        <f t="shared" si="97"/>
        <v>0.69489999999999996</v>
      </c>
      <c r="CJ81" s="22">
        <f t="shared" si="98"/>
        <v>-846.59</v>
      </c>
      <c r="CK81" s="15">
        <f t="shared" si="104"/>
        <v>0</v>
      </c>
      <c r="CM81" s="22">
        <f t="shared" si="105"/>
        <v>-1218.2862816433058</v>
      </c>
      <c r="CN81" s="15">
        <f t="shared" si="111"/>
        <v>-6.5076792211113252</v>
      </c>
    </row>
    <row r="82" spans="1:92">
      <c r="A82" s="25"/>
      <c r="B82" s="80">
        <v>39600</v>
      </c>
      <c r="C82" s="81">
        <f t="shared" si="72"/>
        <v>2.0909</v>
      </c>
      <c r="D82" s="82">
        <f t="shared" si="106"/>
        <v>2.1536270000000002</v>
      </c>
      <c r="E82" s="73">
        <f t="shared" si="54"/>
        <v>-557.00525949909297</v>
      </c>
      <c r="F82" s="19">
        <f t="shared" si="70"/>
        <v>-1199.5815659992531</v>
      </c>
      <c r="G82" s="19">
        <f t="shared" si="56"/>
        <v>-1756.4779139938134</v>
      </c>
      <c r="H82" s="19">
        <f t="shared" si="71"/>
        <v>-556.8963479945603</v>
      </c>
      <c r="I82" s="62"/>
      <c r="J82" s="15" t="str">
        <f t="shared" si="112"/>
        <v>Ze względu na spadek kursu CHF, rata jest korzystniejsza niż bez klauzuli indeksacyjnej</v>
      </c>
      <c r="K82" s="15">
        <f>IF(B82&lt;=Dane_kredytowe!F$9,0,K81+1)</f>
        <v>2</v>
      </c>
      <c r="L82" s="83">
        <f t="shared" si="73"/>
        <v>2.7799999999999998E-2</v>
      </c>
      <c r="M82" s="84">
        <f>L82+Dane_kredytowe!F$12</f>
        <v>5.7799999999999997E-2</v>
      </c>
      <c r="N82" s="79">
        <f>MAX(Dane_kredytowe!F$17+SUM(AA$5:AA81)-SUM(X$5:X82)+SUM(W$5:W82),0)</f>
        <v>95037.743029277772</v>
      </c>
      <c r="O82" s="85">
        <f>MAX(Dane_kredytowe!F$8+SUM(V$5:V81)-SUM(S$5:S82)+SUM(R$5:R81),0)</f>
        <v>299695.00966088765</v>
      </c>
      <c r="P82" s="67">
        <f t="shared" si="59"/>
        <v>360</v>
      </c>
      <c r="Q82" s="127" t="str">
        <f>IF(AND(K82&gt;0,K82&lt;=Dane_kredytowe!F$16),"tak","nie")</f>
        <v>nie</v>
      </c>
      <c r="R82" s="69"/>
      <c r="S82" s="86">
        <f>IF(Dane_kredytowe!F$19=B82,O81+V81,_xlfn.XLOOKUP(B82,Dane_kredytowe!M$9:M$18,Dane_kredytowe!N$9:N$18,0))</f>
        <v>0</v>
      </c>
      <c r="T82" s="71">
        <f t="shared" si="74"/>
        <v>-1443.5309631999419</v>
      </c>
      <c r="U82" s="72">
        <f>IF(Q82="tak",T82,IF(P82-SUM(AB$5:AB82)+1&gt;0,IF(Dane_kredytowe!F$9&lt;B82,IF(SUM(AB$5:AB82)-Dane_kredytowe!F$16+1&gt;0,PMT(M82/12,P82+1-SUM(AB$5:AB82),O82),T82),0),0))</f>
        <v>-1756.4779139938134</v>
      </c>
      <c r="V82" s="72">
        <f t="shared" si="99"/>
        <v>-312.94695079387157</v>
      </c>
      <c r="W82" s="19" t="str">
        <f t="shared" si="100"/>
        <v xml:space="preserve"> </v>
      </c>
      <c r="X82" s="19">
        <f t="shared" si="113"/>
        <v>0</v>
      </c>
      <c r="Y82" s="73">
        <f t="shared" si="76"/>
        <v>-457.76512892435454</v>
      </c>
      <c r="Z82" s="19">
        <f>IF(P82-SUM(AB$5:AB82)+1&gt;0,IF(Dane_kredytowe!F$9&lt;B82,IF(SUM(AB$5:AB82)-Dane_kredytowe!F$16+1&gt;0,PMT(M82/12,P82+1-SUM(AB$5:AB82),N82),Y82),0),0)</f>
        <v>-557.00525949909297</v>
      </c>
      <c r="AA82" s="19">
        <f t="shared" si="68"/>
        <v>-99.24013057473843</v>
      </c>
      <c r="AB82" s="20">
        <f>IF(AND(Dane_kredytowe!F$9&lt;B82,SUM(AB$5:AB81)&lt;P81),1," ")</f>
        <v>1</v>
      </c>
      <c r="AD82" s="75">
        <f>IF(OR(B82&lt;Dane_kredytowe!F$15,Dane_kredytowe!F$15=""),-F82+S82,0)</f>
        <v>1199.5815659992531</v>
      </c>
      <c r="AE82" s="75">
        <f t="shared" si="77"/>
        <v>0</v>
      </c>
      <c r="AG82" s="22">
        <f>Dane_kredytowe!F$17-SUM(AI$5:AI81)+SUM(W$42:W82)-SUM(X$42:X82)</f>
        <v>94870.200000000012</v>
      </c>
      <c r="AH82" s="22">
        <f t="shared" si="78"/>
        <v>456.96</v>
      </c>
      <c r="AI82" s="22">
        <f t="shared" si="79"/>
        <v>264.26</v>
      </c>
      <c r="AJ82" s="22">
        <f t="shared" si="61"/>
        <v>721.22</v>
      </c>
      <c r="AK82" s="22">
        <f t="shared" si="80"/>
        <v>1553.24</v>
      </c>
      <c r="AL82" s="22">
        <f>Dane_kredytowe!F$8-SUM(AN$5:AN81)+SUM(R$42:R81)-SUM(S$42:S82)</f>
        <v>299166.67</v>
      </c>
      <c r="AM82" s="22">
        <f t="shared" si="81"/>
        <v>1440.99</v>
      </c>
      <c r="AN82" s="22">
        <f t="shared" si="82"/>
        <v>833.33</v>
      </c>
      <c r="AO82" s="22">
        <f t="shared" si="62"/>
        <v>2274.3200000000002</v>
      </c>
      <c r="AP82" s="22">
        <f t="shared" si="63"/>
        <v>-721.08000000000015</v>
      </c>
      <c r="AR82" s="87">
        <f t="shared" si="83"/>
        <v>39600</v>
      </c>
      <c r="AS82" s="23">
        <f>AS$5+SUM(AV$5:AV81)-SUM(X$5:X82)+SUM(W$5:W82)</f>
        <v>138914.90203990342</v>
      </c>
      <c r="AT82" s="22">
        <f t="shared" si="84"/>
        <v>-669.10677815886811</v>
      </c>
      <c r="AU82" s="22">
        <f>IF(AB82=1,IF(Q82="tak",AT82,PMT(M82/12,P82+1-SUM(AB$5:AB82),AS82)),0)</f>
        <v>-814.16423194299318</v>
      </c>
      <c r="AV82" s="22">
        <f t="shared" si="64"/>
        <v>-145.05745378412507</v>
      </c>
      <c r="AW82" s="22">
        <f t="shared" si="85"/>
        <v>-1702.3359925696045</v>
      </c>
      <c r="AY82" s="23">
        <f>AY$5+SUM(BA$5:BA81)+SUM(W$5:W81)-SUM(X$5:X81)</f>
        <v>138670.00143784186</v>
      </c>
      <c r="AZ82" s="23">
        <f t="shared" si="86"/>
        <v>-669.10677815886811</v>
      </c>
      <c r="BA82" s="23">
        <f t="shared" si="87"/>
        <v>-386.27</v>
      </c>
      <c r="BB82" s="23">
        <f t="shared" si="65"/>
        <v>-1055.3767781588681</v>
      </c>
      <c r="BC82" s="23">
        <f t="shared" si="88"/>
        <v>-2206.6873054523771</v>
      </c>
      <c r="BE82" s="88">
        <f t="shared" si="89"/>
        <v>6.5799999999999997E-2</v>
      </c>
      <c r="BF82" s="89">
        <f>BE82+Dane_kredytowe!F$12</f>
        <v>9.5799999999999996E-2</v>
      </c>
      <c r="BG82" s="23">
        <f>BG$5+SUM(BH$5:BH81)+SUM(R$5:R81)-SUM(S$5:S81)</f>
        <v>299849.61313440948</v>
      </c>
      <c r="BH82" s="22">
        <f t="shared" si="69"/>
        <v>-146.24756650754398</v>
      </c>
      <c r="BI82" s="22">
        <f t="shared" si="67"/>
        <v>-2393.7994115230354</v>
      </c>
      <c r="BJ82" s="22">
        <f>IF(U82&lt;0,PMT(BF82/12,Dane_kredytowe!F$13-SUM(AB$5:AB82)+1,BG82),0)</f>
        <v>-2540.0469780305793</v>
      </c>
      <c r="BL82" s="23">
        <f>BL$5+SUM(BN$5:BN81)+SUM(R$5:R81)-SUM(S$5:S81)</f>
        <v>299166.66666666669</v>
      </c>
      <c r="BM82" s="23">
        <f t="shared" si="90"/>
        <v>-2388.3472222222222</v>
      </c>
      <c r="BN82" s="23">
        <f t="shared" si="91"/>
        <v>-833.33333333333337</v>
      </c>
      <c r="BO82" s="23">
        <f t="shared" si="92"/>
        <v>-3221.6805555555557</v>
      </c>
      <c r="BQ82" s="89">
        <f t="shared" si="93"/>
        <v>8.249999999999999E-2</v>
      </c>
      <c r="BR82" s="23">
        <f>BR$5+SUM(BS$5:BS81)+SUM(R$5:R81)-SUM(S$5:S81)+SUM(BV$5:BV81)</f>
        <v>300801.71371835668</v>
      </c>
      <c r="BS82" s="22">
        <f t="shared" si="107"/>
        <v>-193.25296950569509</v>
      </c>
      <c r="BT82" s="22">
        <f t="shared" si="108"/>
        <v>-2068.0117818137019</v>
      </c>
      <c r="BU82" s="22">
        <f>IF(U82&lt;0,PMT(BQ82/12,Dane_kredytowe!F$13-SUM(AB$5:AB82)+1,BR82),0)</f>
        <v>-2261.264751319397</v>
      </c>
      <c r="BV82" s="22">
        <f t="shared" si="101"/>
        <v>1061.6831853201438</v>
      </c>
      <c r="BX82" s="23">
        <f>BX$5+SUM(BZ$5:BZ81)+SUM(R$5:R81)-SUM(S$5:S81)+SUM(CB$5,CB81)</f>
        <v>300801.71371835674</v>
      </c>
      <c r="BY82" s="22">
        <f t="shared" si="94"/>
        <v>-2068.0117818137023</v>
      </c>
      <c r="BZ82" s="22">
        <f t="shared" si="95"/>
        <v>-837.88778194528345</v>
      </c>
      <c r="CA82" s="22">
        <f t="shared" si="109"/>
        <v>-2905.899563758986</v>
      </c>
      <c r="CB82" s="22">
        <f t="shared" si="110"/>
        <v>1706.3179977597329</v>
      </c>
      <c r="CD82" s="22">
        <f>CD$5+SUM(CE$5:CE81)+SUM(R$5:R81)-SUM(S$5:S81)-SUM(CF$5:CF81)</f>
        <v>300801.71371835668</v>
      </c>
      <c r="CE82" s="22">
        <f t="shared" si="102"/>
        <v>2068.0117818137023</v>
      </c>
      <c r="CF82" s="22">
        <f t="shared" si="96"/>
        <v>1199.5815659992531</v>
      </c>
      <c r="CG82" s="22">
        <f t="shared" si="103"/>
        <v>-868.43021581444918</v>
      </c>
      <c r="CI82" s="89">
        <f t="shared" si="97"/>
        <v>0.6915</v>
      </c>
      <c r="CJ82" s="22">
        <f t="shared" si="98"/>
        <v>-829.51</v>
      </c>
      <c r="CK82" s="15">
        <f t="shared" si="104"/>
        <v>0</v>
      </c>
      <c r="CM82" s="22">
        <f t="shared" si="105"/>
        <v>-2417.8678476425589</v>
      </c>
      <c r="CN82" s="15">
        <f t="shared" si="111"/>
        <v>-13.257975364573364</v>
      </c>
    </row>
    <row r="83" spans="1:92">
      <c r="A83" s="25"/>
      <c r="B83" s="80">
        <v>39630</v>
      </c>
      <c r="C83" s="81">
        <f t="shared" si="72"/>
        <v>2.0139</v>
      </c>
      <c r="D83" s="82">
        <f t="shared" si="106"/>
        <v>2.0743170000000002</v>
      </c>
      <c r="E83" s="73">
        <f t="shared" si="54"/>
        <v>-557.00525949909297</v>
      </c>
      <c r="F83" s="19">
        <f t="shared" si="70"/>
        <v>-1155.4054788683802</v>
      </c>
      <c r="G83" s="19">
        <f t="shared" si="56"/>
        <v>-1756.4779139938134</v>
      </c>
      <c r="H83" s="19">
        <f t="shared" si="71"/>
        <v>-601.07243512543323</v>
      </c>
      <c r="I83" s="62"/>
      <c r="J83" s="15" t="str">
        <f t="shared" si="112"/>
        <v>Ze względu na spadek kursu CHF, rata jest korzystniejsza niż bez klauzuli indeksacyjnej</v>
      </c>
      <c r="K83" s="15">
        <f>IF(B83&lt;=Dane_kredytowe!F$9,0,K82+1)</f>
        <v>3</v>
      </c>
      <c r="L83" s="83">
        <f t="shared" si="73"/>
        <v>2.7799999999999998E-2</v>
      </c>
      <c r="M83" s="84">
        <f>L83+Dane_kredytowe!F$12</f>
        <v>5.7799999999999997E-2</v>
      </c>
      <c r="N83" s="79">
        <f>MAX(Dane_kredytowe!F$17+SUM(AA$5:AA82)-SUM(X$5:X83)+SUM(W$5:W83),0)</f>
        <v>94938.502898703038</v>
      </c>
      <c r="O83" s="85">
        <f>MAX(Dane_kredytowe!F$8+SUM(V$5:V82)-SUM(S$5:S83)+SUM(R$5:R82),0)</f>
        <v>299382.06271009374</v>
      </c>
      <c r="P83" s="67">
        <f t="shared" si="59"/>
        <v>360</v>
      </c>
      <c r="Q83" s="127" t="str">
        <f>IF(AND(K83&gt;0,K83&lt;=Dane_kredytowe!F$16),"tak","nie")</f>
        <v>nie</v>
      </c>
      <c r="R83" s="69"/>
      <c r="S83" s="86">
        <f>IF(Dane_kredytowe!F$19=B83,O82+V82,_xlfn.XLOOKUP(B83,Dane_kredytowe!M$9:M$18,Dane_kredytowe!N$9:N$18,0))</f>
        <v>0</v>
      </c>
      <c r="T83" s="71">
        <f t="shared" si="74"/>
        <v>-1442.0236020536183</v>
      </c>
      <c r="U83" s="72">
        <f>IF(Q83="tak",T83,IF(P83-SUM(AB$5:AB83)+1&gt;0,IF(Dane_kredytowe!F$9&lt;B83,IF(SUM(AB$5:AB83)-Dane_kredytowe!F$16+1&gt;0,PMT(M83/12,P83+1-SUM(AB$5:AB83),O83),T83),0),0))</f>
        <v>-1756.4779139938134</v>
      </c>
      <c r="V83" s="72">
        <f t="shared" si="99"/>
        <v>-314.45431194019511</v>
      </c>
      <c r="W83" s="19" t="str">
        <f t="shared" si="100"/>
        <v xml:space="preserve"> </v>
      </c>
      <c r="X83" s="19">
        <f t="shared" si="113"/>
        <v>0</v>
      </c>
      <c r="Y83" s="73">
        <f t="shared" si="76"/>
        <v>-457.28712229541958</v>
      </c>
      <c r="Z83" s="19">
        <f>IF(P83-SUM(AB$5:AB83)+1&gt;0,IF(Dane_kredytowe!F$9&lt;B83,IF(SUM(AB$5:AB83)-Dane_kredytowe!F$16+1&gt;0,PMT(M83/12,P83+1-SUM(AB$5:AB83),N83),Y83),0),0)</f>
        <v>-557.00525949909297</v>
      </c>
      <c r="AA83" s="19">
        <f t="shared" si="68"/>
        <v>-99.718137203673393</v>
      </c>
      <c r="AB83" s="20">
        <f>IF(AND(Dane_kredytowe!F$9&lt;B83,SUM(AB$5:AB82)&lt;P82),1," ")</f>
        <v>1</v>
      </c>
      <c r="AD83" s="75">
        <f>IF(OR(B83&lt;Dane_kredytowe!F$15,Dane_kredytowe!F$15=""),-F83+S83,0)</f>
        <v>1155.4054788683802</v>
      </c>
      <c r="AE83" s="75">
        <f t="shared" si="77"/>
        <v>0</v>
      </c>
      <c r="AG83" s="22">
        <f>Dane_kredytowe!F$17-SUM(AI$5:AI82)+SUM(W$42:W83)-SUM(X$42:X83)</f>
        <v>94605.94</v>
      </c>
      <c r="AH83" s="22">
        <f t="shared" si="78"/>
        <v>455.69</v>
      </c>
      <c r="AI83" s="22">
        <f t="shared" si="79"/>
        <v>264.26</v>
      </c>
      <c r="AJ83" s="22">
        <f t="shared" si="61"/>
        <v>719.95</v>
      </c>
      <c r="AK83" s="22">
        <f t="shared" si="80"/>
        <v>1493.4</v>
      </c>
      <c r="AL83" s="22">
        <f>Dane_kredytowe!F$8-SUM(AN$5:AN82)+SUM(R$42:R82)-SUM(S$42:S83)</f>
        <v>298333.34000000003</v>
      </c>
      <c r="AM83" s="22">
        <f t="shared" si="81"/>
        <v>1436.97</v>
      </c>
      <c r="AN83" s="22">
        <f t="shared" si="82"/>
        <v>833.33</v>
      </c>
      <c r="AO83" s="22">
        <f t="shared" si="62"/>
        <v>2270.3000000000002</v>
      </c>
      <c r="AP83" s="22">
        <f t="shared" si="63"/>
        <v>-776.90000000000009</v>
      </c>
      <c r="AR83" s="87">
        <f t="shared" si="83"/>
        <v>39630</v>
      </c>
      <c r="AS83" s="23">
        <f>AS$5+SUM(AV$5:AV82)-SUM(X$5:X83)+SUM(W$5:W83)</f>
        <v>138769.84458611929</v>
      </c>
      <c r="AT83" s="22">
        <f t="shared" si="84"/>
        <v>-668.40808475647452</v>
      </c>
      <c r="AU83" s="22">
        <f>IF(AB83=1,IF(Q83="tak",AT83,PMT(M83/12,P83+1-SUM(AB$5:AB83),AS83)),0)</f>
        <v>-814.16423194299318</v>
      </c>
      <c r="AV83" s="22">
        <f t="shared" si="64"/>
        <v>-145.75614718651866</v>
      </c>
      <c r="AW83" s="22">
        <f t="shared" si="85"/>
        <v>-1639.6453467099941</v>
      </c>
      <c r="AY83" s="23">
        <f>AY$5+SUM(BA$5:BA82)+SUM(W$5:W82)-SUM(X$5:X82)</f>
        <v>138283.73143784184</v>
      </c>
      <c r="AZ83" s="23">
        <f t="shared" si="86"/>
        <v>-668.40808475647452</v>
      </c>
      <c r="BA83" s="23">
        <f t="shared" si="87"/>
        <v>-386.27</v>
      </c>
      <c r="BB83" s="23">
        <f t="shared" si="65"/>
        <v>-1054.6780847564746</v>
      </c>
      <c r="BC83" s="23">
        <f t="shared" si="88"/>
        <v>-2124.0161948910641</v>
      </c>
      <c r="BE83" s="88">
        <f t="shared" si="89"/>
        <v>6.6199999999999995E-2</v>
      </c>
      <c r="BF83" s="89">
        <f>BE83+Dane_kredytowe!F$12</f>
        <v>9.6199999999999994E-2</v>
      </c>
      <c r="BG83" s="23">
        <f>BG$5+SUM(BH$5:BH82)+SUM(R$5:R82)-SUM(S$5:S82)</f>
        <v>299703.36556790193</v>
      </c>
      <c r="BH83" s="22">
        <f t="shared" si="69"/>
        <v>-146.18247803274653</v>
      </c>
      <c r="BI83" s="22">
        <f t="shared" si="67"/>
        <v>-2402.6219806360136</v>
      </c>
      <c r="BJ83" s="22">
        <f>IF(U83&lt;0,PMT(BF83/12,Dane_kredytowe!F$13-SUM(AB$5:AB83)+1,BG83),0)</f>
        <v>-2548.8044586687602</v>
      </c>
      <c r="BL83" s="23">
        <f>BL$5+SUM(BN$5:BN82)+SUM(R$5:R82)-SUM(S$5:S82)</f>
        <v>298333.33333333331</v>
      </c>
      <c r="BM83" s="23">
        <f t="shared" si="90"/>
        <v>-2391.6388888888887</v>
      </c>
      <c r="BN83" s="23">
        <f t="shared" si="91"/>
        <v>-833.33333333333326</v>
      </c>
      <c r="BO83" s="23">
        <f t="shared" si="92"/>
        <v>-3224.9722222222217</v>
      </c>
      <c r="BQ83" s="89">
        <f t="shared" si="93"/>
        <v>8.2900000000000001E-2</v>
      </c>
      <c r="BR83" s="23">
        <f>BR$5+SUM(BS$5:BS82)+SUM(R$5:R82)-SUM(S$5:S82)+SUM(BV$5:BV82)</f>
        <v>301670.14393417112</v>
      </c>
      <c r="BS83" s="22">
        <f t="shared" si="107"/>
        <v>-193.6889552033449</v>
      </c>
      <c r="BT83" s="22">
        <f t="shared" si="108"/>
        <v>-2084.0379110118988</v>
      </c>
      <c r="BU83" s="22">
        <f>IF(U83&lt;0,PMT(BQ83/12,Dane_kredytowe!F$13-SUM(AB$5:AB83)+1,BR83),0)</f>
        <v>-2277.7268662152437</v>
      </c>
      <c r="BV83" s="22">
        <f t="shared" si="101"/>
        <v>1122.3213873468635</v>
      </c>
      <c r="BX83" s="23">
        <f>BX$5+SUM(BZ$5:BZ82)+SUM(R$5:R82)-SUM(S$5:S82)+SUM(CB$5,CB82)</f>
        <v>300035.09688248113</v>
      </c>
      <c r="BY83" s="22">
        <f t="shared" si="94"/>
        <v>-2072.7424609631403</v>
      </c>
      <c r="BZ83" s="22">
        <f t="shared" si="95"/>
        <v>-838.08686280022664</v>
      </c>
      <c r="CA83" s="22">
        <f t="shared" si="109"/>
        <v>-2910.829323763367</v>
      </c>
      <c r="CB83" s="22">
        <f t="shared" si="110"/>
        <v>1755.4238448949868</v>
      </c>
      <c r="CD83" s="22">
        <f>CD$5+SUM(CE$5:CE82)+SUM(R$5:R82)-SUM(S$5:S82)-SUM(CF$5:CF82)</f>
        <v>301670.14393417112</v>
      </c>
      <c r="CE83" s="22">
        <f t="shared" si="102"/>
        <v>2072.7424609631403</v>
      </c>
      <c r="CF83" s="22">
        <f t="shared" si="96"/>
        <v>1155.4054788683802</v>
      </c>
      <c r="CG83" s="22">
        <f t="shared" si="103"/>
        <v>-917.33698209476006</v>
      </c>
      <c r="CI83" s="89">
        <f t="shared" si="97"/>
        <v>0.6915</v>
      </c>
      <c r="CJ83" s="22">
        <f t="shared" si="98"/>
        <v>-798.96</v>
      </c>
      <c r="CK83" s="15">
        <f t="shared" si="104"/>
        <v>0</v>
      </c>
      <c r="CM83" s="22">
        <f t="shared" si="105"/>
        <v>-3573.2733265109391</v>
      </c>
      <c r="CN83" s="15">
        <f t="shared" si="111"/>
        <v>-19.712557851252011</v>
      </c>
    </row>
    <row r="84" spans="1:92">
      <c r="A84" s="25"/>
      <c r="B84" s="80">
        <v>39661</v>
      </c>
      <c r="C84" s="81">
        <f t="shared" si="72"/>
        <v>2.0278999999999998</v>
      </c>
      <c r="D84" s="82">
        <f t="shared" si="106"/>
        <v>2.0887370000000001</v>
      </c>
      <c r="E84" s="73">
        <f t="shared" si="54"/>
        <v>-557.00525949909297</v>
      </c>
      <c r="F84" s="19">
        <f t="shared" si="70"/>
        <v>-1163.437494710357</v>
      </c>
      <c r="G84" s="19">
        <f t="shared" si="56"/>
        <v>-1756.4779139938137</v>
      </c>
      <c r="H84" s="19">
        <f t="shared" si="71"/>
        <v>-593.04041928345669</v>
      </c>
      <c r="I84" s="62"/>
      <c r="J84" s="15" t="str">
        <f t="shared" si="112"/>
        <v>Ze względu na spadek kursu CHF, rata jest korzystniejsza niż bez klauzuli indeksacyjnej</v>
      </c>
      <c r="K84" s="15">
        <f>IF(B84&lt;=Dane_kredytowe!F$9,0,K83+1)</f>
        <v>4</v>
      </c>
      <c r="L84" s="83">
        <f t="shared" si="73"/>
        <v>2.7799999999999998E-2</v>
      </c>
      <c r="M84" s="84">
        <f>L84+Dane_kredytowe!F$12</f>
        <v>5.7799999999999997E-2</v>
      </c>
      <c r="N84" s="79">
        <f>MAX(Dane_kredytowe!F$17+SUM(AA$5:AA83)-SUM(X$5:X84)+SUM(W$5:W84),0)</f>
        <v>94838.784761499352</v>
      </c>
      <c r="O84" s="85">
        <f>MAX(Dane_kredytowe!F$8+SUM(V$5:V83)-SUM(S$5:S84)+SUM(R$5:R83),0)</f>
        <v>299067.60839815356</v>
      </c>
      <c r="P84" s="67">
        <f t="shared" si="59"/>
        <v>360</v>
      </c>
      <c r="Q84" s="127" t="str">
        <f>IF(AND(K84&gt;0,K84&lt;=Dane_kredytowe!F$16),"tak","nie")</f>
        <v>nie</v>
      </c>
      <c r="R84" s="69"/>
      <c r="S84" s="86">
        <f>IF(Dane_kredytowe!F$19=B84,O83+V83,_xlfn.XLOOKUP(B84,Dane_kredytowe!M$9:M$18,Dane_kredytowe!N$9:N$18,0))</f>
        <v>0</v>
      </c>
      <c r="T84" s="71">
        <f t="shared" si="74"/>
        <v>-1440.5089804511063</v>
      </c>
      <c r="U84" s="72">
        <f>IF(Q84="tak",T84,IF(P84-SUM(AB$5:AB84)+1&gt;0,IF(Dane_kredytowe!F$9&lt;B84,IF(SUM(AB$5:AB84)-Dane_kredytowe!F$16+1&gt;0,PMT(M84/12,P84+1-SUM(AB$5:AB84),O84),T84),0),0))</f>
        <v>-1756.4779139938137</v>
      </c>
      <c r="V84" s="72">
        <f t="shared" si="99"/>
        <v>-315.96893354270742</v>
      </c>
      <c r="W84" s="19" t="str">
        <f t="shared" si="100"/>
        <v xml:space="preserve"> </v>
      </c>
      <c r="X84" s="19">
        <f t="shared" si="113"/>
        <v>0</v>
      </c>
      <c r="Y84" s="73">
        <f t="shared" si="76"/>
        <v>-456.80681326788857</v>
      </c>
      <c r="Z84" s="19">
        <f>IF(P84-SUM(AB$5:AB84)+1&gt;0,IF(Dane_kredytowe!F$9&lt;B84,IF(SUM(AB$5:AB84)-Dane_kredytowe!F$16+1&gt;0,PMT(M84/12,P84+1-SUM(AB$5:AB84),N84),Y84),0),0)</f>
        <v>-557.00525949909297</v>
      </c>
      <c r="AA84" s="19">
        <f t="shared" si="68"/>
        <v>-100.1984462312044</v>
      </c>
      <c r="AB84" s="20">
        <f>IF(AND(Dane_kredytowe!F$9&lt;B84,SUM(AB$5:AB83)&lt;P83),1," ")</f>
        <v>1</v>
      </c>
      <c r="AD84" s="75">
        <f>IF(OR(B84&lt;Dane_kredytowe!F$15,Dane_kredytowe!F$15=""),-F84+S84,0)</f>
        <v>1163.437494710357</v>
      </c>
      <c r="AE84" s="75">
        <f t="shared" si="77"/>
        <v>0</v>
      </c>
      <c r="AG84" s="22">
        <f>Dane_kredytowe!F$17-SUM(AI$5:AI83)+SUM(W$42:W84)-SUM(X$42:X84)</f>
        <v>94341.680000000008</v>
      </c>
      <c r="AH84" s="22">
        <f t="shared" si="78"/>
        <v>454.41</v>
      </c>
      <c r="AI84" s="22">
        <f t="shared" si="79"/>
        <v>264.26</v>
      </c>
      <c r="AJ84" s="22">
        <f t="shared" si="61"/>
        <v>718.67000000000007</v>
      </c>
      <c r="AK84" s="22">
        <f t="shared" si="80"/>
        <v>1501.11</v>
      </c>
      <c r="AL84" s="22">
        <f>Dane_kredytowe!F$8-SUM(AN$5:AN83)+SUM(R$42:R83)-SUM(S$42:S84)</f>
        <v>297500.01</v>
      </c>
      <c r="AM84" s="22">
        <f t="shared" si="81"/>
        <v>1432.96</v>
      </c>
      <c r="AN84" s="22">
        <f t="shared" si="82"/>
        <v>833.33</v>
      </c>
      <c r="AO84" s="22">
        <f t="shared" si="62"/>
        <v>2266.29</v>
      </c>
      <c r="AP84" s="22">
        <f t="shared" si="63"/>
        <v>-765.18000000000006</v>
      </c>
      <c r="AR84" s="87">
        <f t="shared" si="83"/>
        <v>39661</v>
      </c>
      <c r="AS84" s="23">
        <f>AS$5+SUM(AV$5:AV83)-SUM(X$5:X84)+SUM(W$5:W84)</f>
        <v>138624.08843893278</v>
      </c>
      <c r="AT84" s="22">
        <f t="shared" si="84"/>
        <v>-667.70602598085952</v>
      </c>
      <c r="AU84" s="22">
        <f>IF(AB84=1,IF(Q84="tak",AT84,PMT(M84/12,P84+1-SUM(AB$5:AB84),AS84)),0)</f>
        <v>-814.1642319429933</v>
      </c>
      <c r="AV84" s="22">
        <f t="shared" si="64"/>
        <v>-146.45820596213377</v>
      </c>
      <c r="AW84" s="22">
        <f t="shared" si="85"/>
        <v>-1651.0436459571958</v>
      </c>
      <c r="AY84" s="23">
        <f>AY$5+SUM(BA$5:BA83)+SUM(W$5:W83)-SUM(X$5:X83)</f>
        <v>137897.46143784185</v>
      </c>
      <c r="AZ84" s="23">
        <f t="shared" si="86"/>
        <v>-667.70602598085952</v>
      </c>
      <c r="BA84" s="23">
        <f t="shared" si="87"/>
        <v>-386.27</v>
      </c>
      <c r="BB84" s="23">
        <f t="shared" si="65"/>
        <v>-1053.9760259808595</v>
      </c>
      <c r="BC84" s="23">
        <f t="shared" si="88"/>
        <v>-2137.3579830865847</v>
      </c>
      <c r="BE84" s="88">
        <f t="shared" si="89"/>
        <v>6.5199999999999994E-2</v>
      </c>
      <c r="BF84" s="89">
        <f>BE84+Dane_kredytowe!F$12</f>
        <v>9.5199999999999993E-2</v>
      </c>
      <c r="BG84" s="23">
        <f>BG$5+SUM(BH$5:BH83)+SUM(R$5:R83)-SUM(S$5:S83)</f>
        <v>299557.18308986916</v>
      </c>
      <c r="BH84" s="22">
        <f t="shared" si="69"/>
        <v>-150.46722948814522</v>
      </c>
      <c r="BI84" s="22">
        <f t="shared" si="67"/>
        <v>-2376.4869858462948</v>
      </c>
      <c r="BJ84" s="22">
        <f>IF(U84&lt;0,PMT(BF84/12,Dane_kredytowe!F$13-SUM(AB$5:AB84)+1,BG84),0)</f>
        <v>-2526.9542153344401</v>
      </c>
      <c r="BL84" s="23">
        <f>BL$5+SUM(BN$5:BN83)+SUM(R$5:R83)-SUM(S$5:S83)</f>
        <v>297500</v>
      </c>
      <c r="BM84" s="23">
        <f t="shared" si="90"/>
        <v>-2360.1666666666665</v>
      </c>
      <c r="BN84" s="23">
        <f t="shared" si="91"/>
        <v>-833.33333333333337</v>
      </c>
      <c r="BO84" s="23">
        <f t="shared" si="92"/>
        <v>-3193.5</v>
      </c>
      <c r="BQ84" s="89">
        <f t="shared" si="93"/>
        <v>8.1900000000000001E-2</v>
      </c>
      <c r="BR84" s="23">
        <f>BR$5+SUM(BS$5:BS83)+SUM(R$5:R83)-SUM(S$5:S83)+SUM(BV$5:BV83)</f>
        <v>302598.77636631462</v>
      </c>
      <c r="BS84" s="22">
        <f t="shared" si="107"/>
        <v>-199.75209457873916</v>
      </c>
      <c r="BT84" s="22">
        <f t="shared" si="108"/>
        <v>-2065.2366487000972</v>
      </c>
      <c r="BU84" s="22">
        <f>IF(U84&lt;0,PMT(BQ84/12,Dane_kredytowe!F$13-SUM(AB$5:AB84)+1,BR84),0)</f>
        <v>-2264.9887432788364</v>
      </c>
      <c r="BV84" s="22">
        <f t="shared" si="101"/>
        <v>1101.5512485684794</v>
      </c>
      <c r="BX84" s="23">
        <f>BX$5+SUM(BZ$5:BZ83)+SUM(R$5:R83)-SUM(S$5:S83)+SUM(CB$5,CB83)</f>
        <v>299246.11586681614</v>
      </c>
      <c r="BY84" s="22">
        <f t="shared" si="94"/>
        <v>-2042.35474079102</v>
      </c>
      <c r="BZ84" s="22">
        <f t="shared" si="95"/>
        <v>-838.22441419276231</v>
      </c>
      <c r="CA84" s="22">
        <f t="shared" si="109"/>
        <v>-2880.5791549837822</v>
      </c>
      <c r="CB84" s="22">
        <f t="shared" si="110"/>
        <v>1717.1416602734253</v>
      </c>
      <c r="CD84" s="22">
        <f>CD$5+SUM(CE$5:CE83)+SUM(R$5:R83)-SUM(S$5:S83)-SUM(CF$5:CF83)</f>
        <v>302587.48091626592</v>
      </c>
      <c r="CE84" s="22">
        <f t="shared" si="102"/>
        <v>2042.35474079102</v>
      </c>
      <c r="CF84" s="22">
        <f t="shared" si="96"/>
        <v>1163.437494710357</v>
      </c>
      <c r="CG84" s="22">
        <f t="shared" si="103"/>
        <v>-878.91724608066306</v>
      </c>
      <c r="CI84" s="89">
        <f t="shared" si="97"/>
        <v>0.69830000000000003</v>
      </c>
      <c r="CJ84" s="22">
        <f t="shared" si="98"/>
        <v>-812.43</v>
      </c>
      <c r="CK84" s="15">
        <f t="shared" si="104"/>
        <v>0</v>
      </c>
      <c r="CM84" s="22">
        <f t="shared" si="105"/>
        <v>-4736.7108212212961</v>
      </c>
      <c r="CN84" s="15">
        <f t="shared" si="111"/>
        <v>-25.736128795302374</v>
      </c>
    </row>
    <row r="85" spans="1:92">
      <c r="A85" s="25"/>
      <c r="B85" s="80">
        <v>39692</v>
      </c>
      <c r="C85" s="81">
        <f t="shared" si="72"/>
        <v>2.1152000000000002</v>
      </c>
      <c r="D85" s="82">
        <f t="shared" si="106"/>
        <v>2.1786560000000001</v>
      </c>
      <c r="E85" s="73">
        <f t="shared" si="54"/>
        <v>-557.00525949909309</v>
      </c>
      <c r="F85" s="19">
        <f t="shared" si="70"/>
        <v>-1213.5228506392561</v>
      </c>
      <c r="G85" s="19">
        <f t="shared" si="56"/>
        <v>-1756.4779139938137</v>
      </c>
      <c r="H85" s="19">
        <f t="shared" si="71"/>
        <v>-542.95506335455752</v>
      </c>
      <c r="I85" s="62"/>
      <c r="J85" s="15" t="str">
        <f t="shared" si="112"/>
        <v>Ze względu na spadek kursu CHF, rata jest korzystniejsza niż bez klauzuli indeksacyjnej</v>
      </c>
      <c r="K85" s="15">
        <f>IF(B85&lt;=Dane_kredytowe!F$9,0,K84+1)</f>
        <v>5</v>
      </c>
      <c r="L85" s="83">
        <f t="shared" si="73"/>
        <v>2.7799999999999998E-2</v>
      </c>
      <c r="M85" s="84">
        <f>L85+Dane_kredytowe!F$12</f>
        <v>5.7799999999999997E-2</v>
      </c>
      <c r="N85" s="79">
        <f>MAX(Dane_kredytowe!F$17+SUM(AA$5:AA84)-SUM(X$5:X85)+SUM(W$5:W85),0)</f>
        <v>94738.586315268156</v>
      </c>
      <c r="O85" s="85">
        <f>MAX(Dane_kredytowe!F$8+SUM(V$5:V84)-SUM(S$5:S85)+SUM(R$5:R84),0)</f>
        <v>298751.6394646109</v>
      </c>
      <c r="P85" s="67">
        <f t="shared" si="59"/>
        <v>360</v>
      </c>
      <c r="Q85" s="127" t="str">
        <f>IF(AND(K85&gt;0,K85&lt;=Dane_kredytowe!F$16),"tak","nie")</f>
        <v>nie</v>
      </c>
      <c r="R85" s="69"/>
      <c r="S85" s="86">
        <f>IF(Dane_kredytowe!F$19=B85,O84+V84,_xlfn.XLOOKUP(B85,Dane_kredytowe!M$9:M$18,Dane_kredytowe!N$9:N$18,0))</f>
        <v>0</v>
      </c>
      <c r="T85" s="71">
        <f t="shared" si="74"/>
        <v>-1438.9870634212091</v>
      </c>
      <c r="U85" s="72">
        <f>IF(Q85="tak",T85,IF(P85-SUM(AB$5:AB85)+1&gt;0,IF(Dane_kredytowe!F$9&lt;B85,IF(SUM(AB$5:AB85)-Dane_kredytowe!F$16+1&gt;0,PMT(M85/12,P85+1-SUM(AB$5:AB85),O85),T85),0),0))</f>
        <v>-1756.4779139938137</v>
      </c>
      <c r="V85" s="72">
        <f t="shared" si="99"/>
        <v>-317.49085057260459</v>
      </c>
      <c r="W85" s="19" t="str">
        <f t="shared" si="100"/>
        <v xml:space="preserve"> </v>
      </c>
      <c r="X85" s="19">
        <f t="shared" si="113"/>
        <v>0</v>
      </c>
      <c r="Y85" s="73">
        <f t="shared" si="76"/>
        <v>-456.32419075187494</v>
      </c>
      <c r="Z85" s="19">
        <f>IF(P85-SUM(AB$5:AB85)+1&gt;0,IF(Dane_kredytowe!F$9&lt;B85,IF(SUM(AB$5:AB85)-Dane_kredytowe!F$16+1&gt;0,PMT(M85/12,P85+1-SUM(AB$5:AB85),N85),Y85),0),0)</f>
        <v>-557.00525949909309</v>
      </c>
      <c r="AA85" s="19">
        <f t="shared" si="68"/>
        <v>-100.68106874721815</v>
      </c>
      <c r="AB85" s="20">
        <f>IF(AND(Dane_kredytowe!F$9&lt;B85,SUM(AB$5:AB84)&lt;P84),1," ")</f>
        <v>1</v>
      </c>
      <c r="AD85" s="75">
        <f>IF(OR(B85&lt;Dane_kredytowe!F$15,Dane_kredytowe!F$15=""),-F85+S85,0)</f>
        <v>1213.5228506392561</v>
      </c>
      <c r="AE85" s="75">
        <f t="shared" si="77"/>
        <v>0</v>
      </c>
      <c r="AG85" s="22">
        <f>Dane_kredytowe!F$17-SUM(AI$5:AI84)+SUM(W$42:W85)-SUM(X$42:X85)</f>
        <v>94077.420000000013</v>
      </c>
      <c r="AH85" s="22">
        <f t="shared" si="78"/>
        <v>453.14</v>
      </c>
      <c r="AI85" s="22">
        <f t="shared" si="79"/>
        <v>264.26</v>
      </c>
      <c r="AJ85" s="22">
        <f t="shared" si="61"/>
        <v>717.4</v>
      </c>
      <c r="AK85" s="22">
        <f t="shared" si="80"/>
        <v>1562.97</v>
      </c>
      <c r="AL85" s="22">
        <f>Dane_kredytowe!F$8-SUM(AN$5:AN84)+SUM(R$42:R84)-SUM(S$42:S85)</f>
        <v>296666.68</v>
      </c>
      <c r="AM85" s="22">
        <f t="shared" si="81"/>
        <v>1428.94</v>
      </c>
      <c r="AN85" s="22">
        <f t="shared" si="82"/>
        <v>833.33</v>
      </c>
      <c r="AO85" s="22">
        <f t="shared" si="62"/>
        <v>2262.27</v>
      </c>
      <c r="AP85" s="22">
        <f t="shared" si="63"/>
        <v>-699.3</v>
      </c>
      <c r="AR85" s="87">
        <f t="shared" si="83"/>
        <v>39692</v>
      </c>
      <c r="AS85" s="23">
        <f>AS$5+SUM(AV$5:AV84)-SUM(X$5:X85)+SUM(W$5:W85)</f>
        <v>138477.63023297064</v>
      </c>
      <c r="AT85" s="22">
        <f t="shared" si="84"/>
        <v>-667.0005856221419</v>
      </c>
      <c r="AU85" s="22">
        <f>IF(AB85=1,IF(Q85="tak",AT85,PMT(M85/12,P85+1-SUM(AB$5:AB85),AS85)),0)</f>
        <v>-814.16423194299318</v>
      </c>
      <c r="AV85" s="22">
        <f t="shared" si="64"/>
        <v>-147.16364632085129</v>
      </c>
      <c r="AW85" s="22">
        <f t="shared" si="85"/>
        <v>-1722.1201834058193</v>
      </c>
      <c r="AY85" s="23">
        <f>AY$5+SUM(BA$5:BA84)+SUM(W$5:W84)-SUM(X$5:X84)</f>
        <v>137511.19143784186</v>
      </c>
      <c r="AZ85" s="23">
        <f t="shared" si="86"/>
        <v>-667.0005856221419</v>
      </c>
      <c r="BA85" s="23">
        <f t="shared" si="87"/>
        <v>-386.27</v>
      </c>
      <c r="BB85" s="23">
        <f t="shared" si="65"/>
        <v>-1053.2705856221419</v>
      </c>
      <c r="BC85" s="23">
        <f t="shared" si="88"/>
        <v>-2227.8779427079548</v>
      </c>
      <c r="BE85" s="88">
        <f t="shared" si="89"/>
        <v>6.5600000000000006E-2</v>
      </c>
      <c r="BF85" s="89">
        <f>BE85+Dane_kredytowe!F$12</f>
        <v>9.5600000000000004E-2</v>
      </c>
      <c r="BG85" s="23">
        <f>BG$5+SUM(BH$5:BH84)+SUM(R$5:R84)-SUM(S$5:S84)</f>
        <v>299406.71586038102</v>
      </c>
      <c r="BH85" s="22">
        <f t="shared" si="69"/>
        <v>-150.4032676050042</v>
      </c>
      <c r="BI85" s="22">
        <f t="shared" si="67"/>
        <v>-2385.2735030210356</v>
      </c>
      <c r="BJ85" s="22">
        <f>IF(U85&lt;0,PMT(BF85/12,Dane_kredytowe!F$13-SUM(AB$5:AB85)+1,BG85),0)</f>
        <v>-2535.6767706260398</v>
      </c>
      <c r="BL85" s="23">
        <f>BL$5+SUM(BN$5:BN84)+SUM(R$5:R84)-SUM(S$5:S84)</f>
        <v>296666.66666666669</v>
      </c>
      <c r="BM85" s="23">
        <f t="shared" si="90"/>
        <v>-2363.4444444444448</v>
      </c>
      <c r="BN85" s="23">
        <f t="shared" si="91"/>
        <v>-833.33333333333337</v>
      </c>
      <c r="BO85" s="23">
        <f t="shared" si="92"/>
        <v>-3196.7777777777783</v>
      </c>
      <c r="BQ85" s="89">
        <f t="shared" si="93"/>
        <v>8.2300000000000012E-2</v>
      </c>
      <c r="BR85" s="23">
        <f>BR$5+SUM(BS$5:BS84)+SUM(R$5:R84)-SUM(S$5:S84)+SUM(BV$5:BV84)</f>
        <v>303500.57552030444</v>
      </c>
      <c r="BS85" s="22">
        <f t="shared" si="107"/>
        <v>-200.22864868799297</v>
      </c>
      <c r="BT85" s="22">
        <f t="shared" si="108"/>
        <v>-2081.5081137767552</v>
      </c>
      <c r="BU85" s="22">
        <f>IF(U85&lt;0,PMT(BQ85/12,Dane_kredytowe!F$13-SUM(AB$5:AB85)+1,BR85),0)</f>
        <v>-2281.7367624647482</v>
      </c>
      <c r="BV85" s="22">
        <f t="shared" si="101"/>
        <v>1068.213911825492</v>
      </c>
      <c r="BX85" s="23">
        <f>BX$5+SUM(BZ$5:BZ84)+SUM(R$5:R84)-SUM(S$5:S84)+SUM(CB$5,CB84)</f>
        <v>298369.6092680018</v>
      </c>
      <c r="BY85" s="22">
        <f t="shared" si="94"/>
        <v>-2046.3182368963792</v>
      </c>
      <c r="BZ85" s="22">
        <f t="shared" si="95"/>
        <v>-838.11687996629723</v>
      </c>
      <c r="CA85" s="22">
        <f t="shared" si="109"/>
        <v>-2884.4351168626763</v>
      </c>
      <c r="CB85" s="22">
        <f t="shared" si="110"/>
        <v>1670.9122662234201</v>
      </c>
      <c r="CD85" s="22">
        <f>CD$5+SUM(CE$5:CE84)+SUM(R$5:R84)-SUM(S$5:S84)-SUM(CF$5:CF84)</f>
        <v>303466.39816234657</v>
      </c>
      <c r="CE85" s="22">
        <f t="shared" si="102"/>
        <v>2046.3182368963792</v>
      </c>
      <c r="CF85" s="22">
        <f t="shared" si="96"/>
        <v>1213.5228506392561</v>
      </c>
      <c r="CG85" s="22">
        <f t="shared" si="103"/>
        <v>-832.79538625712303</v>
      </c>
      <c r="CI85" s="89">
        <f t="shared" si="97"/>
        <v>0.69320000000000004</v>
      </c>
      <c r="CJ85" s="22">
        <f t="shared" si="98"/>
        <v>-841.21</v>
      </c>
      <c r="CK85" s="15">
        <f t="shared" si="104"/>
        <v>0</v>
      </c>
      <c r="CM85" s="22">
        <f t="shared" si="105"/>
        <v>-5950.233671860552</v>
      </c>
      <c r="CN85" s="15">
        <f t="shared" si="111"/>
        <v>-32.527944072837691</v>
      </c>
    </row>
    <row r="86" spans="1:92">
      <c r="A86" s="25"/>
      <c r="B86" s="80">
        <v>39722</v>
      </c>
      <c r="C86" s="81">
        <f t="shared" si="72"/>
        <v>2.3633999999999999</v>
      </c>
      <c r="D86" s="82">
        <f t="shared" si="106"/>
        <v>2.4343020000000002</v>
      </c>
      <c r="E86" s="73">
        <f t="shared" si="54"/>
        <v>-566.03371192641669</v>
      </c>
      <c r="F86" s="19">
        <f t="shared" si="70"/>
        <v>-1377.8969970099001</v>
      </c>
      <c r="G86" s="19">
        <f t="shared" si="56"/>
        <v>-1784.9485199992196</v>
      </c>
      <c r="H86" s="19">
        <f t="shared" si="71"/>
        <v>-407.05152298931944</v>
      </c>
      <c r="I86" s="62"/>
      <c r="J86" s="15" t="str">
        <f t="shared" si="112"/>
        <v>Ze względu na spadek kursu CHF, rata jest korzystniejsza niż bez klauzuli indeksacyjnej</v>
      </c>
      <c r="K86" s="15">
        <f>IF(B86&lt;=Dane_kredytowe!F$9,0,K85+1)</f>
        <v>6</v>
      </c>
      <c r="L86" s="83">
        <f t="shared" si="73"/>
        <v>2.93E-2</v>
      </c>
      <c r="M86" s="84">
        <f>L86+Dane_kredytowe!F$12</f>
        <v>5.9299999999999999E-2</v>
      </c>
      <c r="N86" s="79">
        <f>MAX(Dane_kredytowe!F$17+SUM(AA$5:AA85)-SUM(X$5:X86)+SUM(W$5:W86),0)</f>
        <v>94637.905246520939</v>
      </c>
      <c r="O86" s="85">
        <f>MAX(Dane_kredytowe!F$8+SUM(V$5:V85)-SUM(S$5:S86)+SUM(R$5:R85),0)</f>
        <v>298434.14861403825</v>
      </c>
      <c r="P86" s="67">
        <f t="shared" si="59"/>
        <v>360</v>
      </c>
      <c r="Q86" s="127" t="str">
        <f>IF(AND(K86&gt;0,K86&lt;=Dane_kredytowe!F$16),"tak","nie")</f>
        <v>nie</v>
      </c>
      <c r="R86" s="69"/>
      <c r="S86" s="86">
        <f>IF(Dane_kredytowe!F$19=B86,O85+V85,_xlfn.XLOOKUP(B86,Dane_kredytowe!M$9:M$18,Dane_kredytowe!N$9:N$18,0))</f>
        <v>0</v>
      </c>
      <c r="T86" s="71">
        <f t="shared" si="74"/>
        <v>-1474.7620844010389</v>
      </c>
      <c r="U86" s="72">
        <f>IF(Q86="tak",T86,IF(P86-SUM(AB$5:AB86)+1&gt;0,IF(Dane_kredytowe!F$9&lt;B86,IF(SUM(AB$5:AB86)-Dane_kredytowe!F$16+1&gt;0,PMT(M86/12,P86+1-SUM(AB$5:AB86),O86),T86),0),0))</f>
        <v>-1784.9485199992196</v>
      </c>
      <c r="V86" s="72">
        <f t="shared" si="99"/>
        <v>-310.18643559818065</v>
      </c>
      <c r="W86" s="19" t="str">
        <f t="shared" si="100"/>
        <v xml:space="preserve"> </v>
      </c>
      <c r="X86" s="19">
        <f t="shared" si="113"/>
        <v>0</v>
      </c>
      <c r="Y86" s="73">
        <f t="shared" si="76"/>
        <v>-467.66898175989098</v>
      </c>
      <c r="Z86" s="19">
        <f>IF(P86-SUM(AB$5:AB86)+1&gt;0,IF(Dane_kredytowe!F$9&lt;B86,IF(SUM(AB$5:AB86)-Dane_kredytowe!F$16+1&gt;0,PMT(M86/12,P86+1-SUM(AB$5:AB86),N86),Y86),0),0)</f>
        <v>-566.03371192641669</v>
      </c>
      <c r="AA86" s="19">
        <f t="shared" si="68"/>
        <v>-98.364730166525703</v>
      </c>
      <c r="AB86" s="20">
        <f>IF(AND(Dane_kredytowe!F$9&lt;B86,SUM(AB$5:AB85)&lt;P85),1," ")</f>
        <v>1</v>
      </c>
      <c r="AD86" s="75">
        <f>IF(OR(B86&lt;Dane_kredytowe!F$15,Dane_kredytowe!F$15=""),-F86+S86,0)</f>
        <v>0</v>
      </c>
      <c r="AE86" s="75">
        <f t="shared" si="77"/>
        <v>566.03371192641669</v>
      </c>
      <c r="AG86" s="22">
        <f>Dane_kredytowe!F$17-SUM(AI$5:AI85)+SUM(W$42:W86)-SUM(X$42:X86)</f>
        <v>93813.16</v>
      </c>
      <c r="AH86" s="22">
        <f t="shared" si="78"/>
        <v>463.59</v>
      </c>
      <c r="AI86" s="22">
        <f t="shared" si="79"/>
        <v>264.26</v>
      </c>
      <c r="AJ86" s="22">
        <f t="shared" si="61"/>
        <v>727.84999999999991</v>
      </c>
      <c r="AK86" s="22">
        <f t="shared" si="80"/>
        <v>1771.81</v>
      </c>
      <c r="AL86" s="22">
        <f>Dane_kredytowe!F$8-SUM(AN$5:AN85)+SUM(R$42:R85)-SUM(S$42:S86)</f>
        <v>295833.34999999998</v>
      </c>
      <c r="AM86" s="22">
        <f t="shared" si="81"/>
        <v>1461.91</v>
      </c>
      <c r="AN86" s="22">
        <f t="shared" si="82"/>
        <v>833.33</v>
      </c>
      <c r="AO86" s="22">
        <f t="shared" si="62"/>
        <v>2295.2400000000002</v>
      </c>
      <c r="AP86" s="22">
        <f t="shared" si="63"/>
        <v>-523.43000000000029</v>
      </c>
      <c r="AR86" s="87">
        <f t="shared" si="83"/>
        <v>39722</v>
      </c>
      <c r="AS86" s="23">
        <f>AS$5+SUM(AV$5:AV85)-SUM(X$5:X86)+SUM(W$5:W86)</f>
        <v>138330.4665866498</v>
      </c>
      <c r="AT86" s="22">
        <f t="shared" si="84"/>
        <v>-683.58305571569429</v>
      </c>
      <c r="AU86" s="22">
        <f>IF(AB86=1,IF(Q86="tak",AT86,PMT(M86/12,P86+1-SUM(AB$5:AB86),AS86)),0)</f>
        <v>-827.36095299861859</v>
      </c>
      <c r="AV86" s="22">
        <f t="shared" si="64"/>
        <v>-143.7778972829243</v>
      </c>
      <c r="AW86" s="22">
        <f t="shared" si="85"/>
        <v>-1955.3848763169351</v>
      </c>
      <c r="AY86" s="23">
        <f>AY$5+SUM(BA$5:BA85)+SUM(W$5:W85)-SUM(X$5:X85)</f>
        <v>137124.92143784184</v>
      </c>
      <c r="AZ86" s="23">
        <f t="shared" si="86"/>
        <v>-683.58305571569429</v>
      </c>
      <c r="BA86" s="23">
        <f t="shared" si="87"/>
        <v>-386.27</v>
      </c>
      <c r="BB86" s="23">
        <f t="shared" si="65"/>
        <v>-1069.8530557156942</v>
      </c>
      <c r="BC86" s="23">
        <f t="shared" si="88"/>
        <v>-2528.4907118784713</v>
      </c>
      <c r="BE86" s="88">
        <f t="shared" si="89"/>
        <v>6.8000000000000005E-2</v>
      </c>
      <c r="BF86" s="89">
        <f>BE86+Dane_kredytowe!F$12</f>
        <v>9.8000000000000004E-2</v>
      </c>
      <c r="BG86" s="23">
        <f>BG$5+SUM(BH$5:BH85)+SUM(R$5:R85)-SUM(S$5:S85)</f>
        <v>299256.31259277603</v>
      </c>
      <c r="BH86" s="22">
        <f t="shared" si="69"/>
        <v>-144.21464033281154</v>
      </c>
      <c r="BI86" s="22">
        <f t="shared" si="67"/>
        <v>-2443.9265528410042</v>
      </c>
      <c r="BJ86" s="22">
        <f>IF(U86&lt;0,PMT(BF86/12,Dane_kredytowe!F$13-SUM(AB$5:AB86)+1,BG86),0)</f>
        <v>-2588.1411931738157</v>
      </c>
      <c r="BL86" s="23">
        <f>BL$5+SUM(BN$5:BN85)+SUM(R$5:R85)-SUM(S$5:S85)</f>
        <v>295833.33333333331</v>
      </c>
      <c r="BM86" s="23">
        <f t="shared" si="90"/>
        <v>-2415.9722222222222</v>
      </c>
      <c r="BN86" s="23">
        <f t="shared" si="91"/>
        <v>-833.33333333333326</v>
      </c>
      <c r="BO86" s="23">
        <f t="shared" si="92"/>
        <v>-3249.3055555555557</v>
      </c>
      <c r="BQ86" s="89">
        <f t="shared" si="93"/>
        <v>8.4699999999999998E-2</v>
      </c>
      <c r="BR86" s="23">
        <f>BR$5+SUM(BS$5:BS85)+SUM(R$5:R85)-SUM(S$5:S85)+SUM(BV$5:BV85)</f>
        <v>304368.56078344194</v>
      </c>
      <c r="BS86" s="22">
        <f t="shared" si="107"/>
        <v>-192.76449294816348</v>
      </c>
      <c r="BT86" s="22">
        <f t="shared" si="108"/>
        <v>-2148.3347581964608</v>
      </c>
      <c r="BU86" s="22">
        <f>IF(U86&lt;0,PMT(BQ86/12,Dane_kredytowe!F$13-SUM(AB$5:AB86)+1,BR86),0)</f>
        <v>-2341.0992511446243</v>
      </c>
      <c r="BV86" s="22">
        <f t="shared" si="101"/>
        <v>963.20225413472417</v>
      </c>
      <c r="BX86" s="23">
        <f>BX$5+SUM(BZ$5:BZ85)+SUM(R$5:R85)-SUM(S$5:S85)+SUM(CB$5,CB85)</f>
        <v>297485.2629939855</v>
      </c>
      <c r="BY86" s="22">
        <f t="shared" si="94"/>
        <v>-2099.7501479658808</v>
      </c>
      <c r="BZ86" s="22">
        <f t="shared" si="95"/>
        <v>-837.98665632108589</v>
      </c>
      <c r="CA86" s="22">
        <f t="shared" si="109"/>
        <v>-2937.7368042869666</v>
      </c>
      <c r="CB86" s="22">
        <f t="shared" si="110"/>
        <v>1559.8398072770665</v>
      </c>
      <c r="CD86" s="22">
        <f>CD$5+SUM(CE$5:CE85)+SUM(R$5:R85)-SUM(S$5:S85)-SUM(CF$5:CF85)</f>
        <v>304299.19354860368</v>
      </c>
      <c r="CE86" s="22">
        <f t="shared" si="102"/>
        <v>2099.7501479658808</v>
      </c>
      <c r="CF86" s="22">
        <f t="shared" si="96"/>
        <v>1377.8969970099001</v>
      </c>
      <c r="CG86" s="22">
        <f t="shared" si="103"/>
        <v>-721.85315095598071</v>
      </c>
      <c r="CI86" s="89">
        <f t="shared" si="97"/>
        <v>0.6865</v>
      </c>
      <c r="CJ86" s="22">
        <f t="shared" si="98"/>
        <v>-945.93</v>
      </c>
      <c r="CK86" s="15">
        <f t="shared" si="104"/>
        <v>0</v>
      </c>
      <c r="CM86" s="22">
        <f t="shared" si="105"/>
        <v>-7328.1306688704517</v>
      </c>
      <c r="CN86" s="15">
        <f t="shared" si="111"/>
        <v>-41.526073790265897</v>
      </c>
    </row>
    <row r="87" spans="1:92">
      <c r="A87" s="25"/>
      <c r="B87" s="80">
        <v>39753</v>
      </c>
      <c r="C87" s="81">
        <f t="shared" si="72"/>
        <v>2.4565999999999999</v>
      </c>
      <c r="D87" s="82">
        <f t="shared" si="106"/>
        <v>2.5302980000000002</v>
      </c>
      <c r="E87" s="73">
        <f t="shared" si="54"/>
        <v>-556.4232787629295</v>
      </c>
      <c r="F87" s="19">
        <f t="shared" si="70"/>
        <v>-1407.9167094072832</v>
      </c>
      <c r="G87" s="19">
        <f t="shared" si="56"/>
        <v>-1754.6426776257397</v>
      </c>
      <c r="H87" s="19">
        <f t="shared" si="71"/>
        <v>-346.7259682184565</v>
      </c>
      <c r="I87" s="62"/>
      <c r="J87" s="15" t="str">
        <f t="shared" si="112"/>
        <v>Ze względu na spadek kursu CHF, rata jest korzystniejsza niż bez klauzuli indeksacyjnej</v>
      </c>
      <c r="K87" s="15">
        <f>IF(B87&lt;=Dane_kredytowe!F$9,0,K86+1)</f>
        <v>7</v>
      </c>
      <c r="L87" s="83">
        <f t="shared" si="73"/>
        <v>2.7699999999999999E-2</v>
      </c>
      <c r="M87" s="84">
        <f>L87+Dane_kredytowe!F$12</f>
        <v>5.7700000000000001E-2</v>
      </c>
      <c r="N87" s="79">
        <f>MAX(Dane_kredytowe!F$17+SUM(AA$5:AA86)-SUM(X$5:X87)+SUM(W$5:W87),0)</f>
        <v>94539.540516354406</v>
      </c>
      <c r="O87" s="85">
        <f>MAX(Dane_kredytowe!F$8+SUM(V$5:V86)-SUM(S$5:S87)+SUM(R$5:R86),0)</f>
        <v>298123.96217844007</v>
      </c>
      <c r="P87" s="67">
        <f t="shared" si="59"/>
        <v>360</v>
      </c>
      <c r="Q87" s="127" t="str">
        <f>IF(AND(K87&gt;0,K87&lt;=Dane_kredytowe!F$16),"tak","nie")</f>
        <v>nie</v>
      </c>
      <c r="R87" s="69"/>
      <c r="S87" s="86">
        <f>IF(Dane_kredytowe!F$19=B87,O86+V86,_xlfn.XLOOKUP(B87,Dane_kredytowe!M$9:M$18,Dane_kredytowe!N$9:N$18,0))</f>
        <v>0</v>
      </c>
      <c r="T87" s="71">
        <f t="shared" si="74"/>
        <v>-1433.4793848079992</v>
      </c>
      <c r="U87" s="72">
        <f>IF(Q87="tak",T87,IF(P87-SUM(AB$5:AB87)+1&gt;0,IF(Dane_kredytowe!F$9&lt;B87,IF(SUM(AB$5:AB87)-Dane_kredytowe!F$16+1&gt;0,PMT(M87/12,P87+1-SUM(AB$5:AB87),O87),T87),0),0))</f>
        <v>-1754.6426776257397</v>
      </c>
      <c r="V87" s="72">
        <f t="shared" si="99"/>
        <v>-321.16329281774051</v>
      </c>
      <c r="W87" s="19" t="str">
        <f t="shared" si="100"/>
        <v xml:space="preserve"> </v>
      </c>
      <c r="X87" s="19">
        <f t="shared" si="113"/>
        <v>0</v>
      </c>
      <c r="Y87" s="73">
        <f t="shared" si="76"/>
        <v>-454.57762398280414</v>
      </c>
      <c r="Z87" s="19">
        <f>IF(P87-SUM(AB$5:AB87)+1&gt;0,IF(Dane_kredytowe!F$9&lt;B87,IF(SUM(AB$5:AB87)-Dane_kredytowe!F$16+1&gt;0,PMT(M87/12,P87+1-SUM(AB$5:AB87),N87),Y87),0),0)</f>
        <v>-556.4232787629295</v>
      </c>
      <c r="AA87" s="19">
        <f t="shared" si="68"/>
        <v>-101.84565478012536</v>
      </c>
      <c r="AB87" s="20">
        <f>IF(AND(Dane_kredytowe!F$9&lt;B87,SUM(AB$5:AB86)&lt;P86),1," ")</f>
        <v>1</v>
      </c>
      <c r="AD87" s="75">
        <f>IF(OR(B87&lt;Dane_kredytowe!F$15,Dane_kredytowe!F$15=""),-F87+S87,0)</f>
        <v>0</v>
      </c>
      <c r="AE87" s="75">
        <f t="shared" si="77"/>
        <v>556.4232787629295</v>
      </c>
      <c r="AG87" s="22">
        <f>Dane_kredytowe!F$17-SUM(AI$5:AI86)+SUM(W$42:W87)-SUM(X$42:X87)</f>
        <v>93548.900000000009</v>
      </c>
      <c r="AH87" s="22">
        <f t="shared" si="78"/>
        <v>449.81</v>
      </c>
      <c r="AI87" s="22">
        <f t="shared" si="79"/>
        <v>264.26</v>
      </c>
      <c r="AJ87" s="22">
        <f t="shared" si="61"/>
        <v>714.06999999999994</v>
      </c>
      <c r="AK87" s="22">
        <f t="shared" si="80"/>
        <v>1806.81</v>
      </c>
      <c r="AL87" s="22">
        <f>Dane_kredytowe!F$8-SUM(AN$5:AN86)+SUM(R$42:R86)-SUM(S$42:S87)</f>
        <v>295000.02</v>
      </c>
      <c r="AM87" s="22">
        <f t="shared" si="81"/>
        <v>1418.46</v>
      </c>
      <c r="AN87" s="22">
        <f t="shared" si="82"/>
        <v>833.33</v>
      </c>
      <c r="AO87" s="22">
        <f t="shared" si="62"/>
        <v>2251.79</v>
      </c>
      <c r="AP87" s="22">
        <f t="shared" si="63"/>
        <v>-444.98</v>
      </c>
      <c r="AR87" s="87">
        <f t="shared" si="83"/>
        <v>39753</v>
      </c>
      <c r="AS87" s="23">
        <f>AS$5+SUM(AV$5:AV86)-SUM(X$5:X87)+SUM(W$5:W87)</f>
        <v>138186.68868936686</v>
      </c>
      <c r="AT87" s="22">
        <f t="shared" si="84"/>
        <v>-664.44766144803896</v>
      </c>
      <c r="AU87" s="22">
        <f>IF(AB87=1,IF(Q87="tak",AT87,PMT(M87/12,P87+1-SUM(AB$5:AB87),AS87)),0)</f>
        <v>-813.31356152115495</v>
      </c>
      <c r="AV87" s="22">
        <f t="shared" si="64"/>
        <v>-148.86590007311599</v>
      </c>
      <c r="AW87" s="22">
        <f t="shared" si="85"/>
        <v>-1997.9860952328693</v>
      </c>
      <c r="AY87" s="23">
        <f>AY$5+SUM(BA$5:BA86)+SUM(W$5:W86)-SUM(X$5:X86)</f>
        <v>136738.65143784185</v>
      </c>
      <c r="AZ87" s="23">
        <f t="shared" si="86"/>
        <v>-664.44766144803896</v>
      </c>
      <c r="BA87" s="23">
        <f t="shared" si="87"/>
        <v>-386.27</v>
      </c>
      <c r="BB87" s="23">
        <f t="shared" si="65"/>
        <v>-1050.7176614480391</v>
      </c>
      <c r="BC87" s="23">
        <f t="shared" si="88"/>
        <v>-2581.1930071132524</v>
      </c>
      <c r="BE87" s="88">
        <f t="shared" si="89"/>
        <v>6.7400000000000002E-2</v>
      </c>
      <c r="BF87" s="89">
        <f>BE87+Dane_kredytowe!F$12</f>
        <v>9.74E-2</v>
      </c>
      <c r="BG87" s="23">
        <f>BG$5+SUM(BH$5:BH86)+SUM(R$5:R86)-SUM(S$5:S86)</f>
        <v>299112.09795244318</v>
      </c>
      <c r="BH87" s="22">
        <f t="shared" si="69"/>
        <v>-147.21687140593031</v>
      </c>
      <c r="BI87" s="22">
        <f t="shared" si="67"/>
        <v>-2427.7931950473303</v>
      </c>
      <c r="BJ87" s="22">
        <f>IF(U87&lt;0,PMT(BF87/12,Dane_kredytowe!F$13-SUM(AB$5:AB87)+1,BG87),0)</f>
        <v>-2575.0100664532606</v>
      </c>
      <c r="BL87" s="23">
        <f>BL$5+SUM(BN$5:BN86)+SUM(R$5:R86)-SUM(S$5:S86)</f>
        <v>295000</v>
      </c>
      <c r="BM87" s="23">
        <f t="shared" si="90"/>
        <v>-2394.4166666666665</v>
      </c>
      <c r="BN87" s="23">
        <f t="shared" si="91"/>
        <v>-833.33333333333337</v>
      </c>
      <c r="BO87" s="23">
        <f t="shared" si="92"/>
        <v>-3227.75</v>
      </c>
      <c r="BQ87" s="89">
        <f t="shared" si="93"/>
        <v>8.4100000000000008E-2</v>
      </c>
      <c r="BR87" s="23">
        <f>BR$5+SUM(BS$5:BS86)+SUM(R$5:R86)-SUM(S$5:S86)+SUM(BV$5:BV86)</f>
        <v>305138.99854462844</v>
      </c>
      <c r="BS87" s="22">
        <f t="shared" si="107"/>
        <v>-197.10493166237393</v>
      </c>
      <c r="BT87" s="22">
        <f t="shared" si="108"/>
        <v>-2138.5158148002711</v>
      </c>
      <c r="BU87" s="22">
        <f>IF(U87&lt;0,PMT(BQ87/12,Dane_kredytowe!F$13-SUM(AB$5:AB87)+1,BR87),0)</f>
        <v>-2335.620746462645</v>
      </c>
      <c r="BV87" s="22">
        <f t="shared" si="101"/>
        <v>927.70403705536182</v>
      </c>
      <c r="BX87" s="23">
        <f>BX$5+SUM(BZ$5:BZ86)+SUM(R$5:R86)-SUM(S$5:S86)+SUM(CB$5,CB86)</f>
        <v>296536.20387871808</v>
      </c>
      <c r="BY87" s="22">
        <f t="shared" si="94"/>
        <v>-2078.2245621833495</v>
      </c>
      <c r="BZ87" s="22">
        <f t="shared" si="95"/>
        <v>-837.67289231276288</v>
      </c>
      <c r="CA87" s="22">
        <f t="shared" si="109"/>
        <v>-2915.8974544961125</v>
      </c>
      <c r="CB87" s="22">
        <f t="shared" si="110"/>
        <v>1507.9807450888293</v>
      </c>
      <c r="CD87" s="22">
        <f>CD$5+SUM(CE$5:CE86)+SUM(R$5:R86)-SUM(S$5:S86)-SUM(CF$5:CF86)</f>
        <v>305021.04669955967</v>
      </c>
      <c r="CE87" s="22">
        <f t="shared" si="102"/>
        <v>2078.2245621833495</v>
      </c>
      <c r="CF87" s="22">
        <f t="shared" si="96"/>
        <v>1407.9167094072832</v>
      </c>
      <c r="CG87" s="22">
        <f t="shared" si="103"/>
        <v>-670.30785277606628</v>
      </c>
      <c r="CI87" s="89">
        <f t="shared" si="97"/>
        <v>0.68310000000000004</v>
      </c>
      <c r="CJ87" s="22">
        <f t="shared" si="98"/>
        <v>-961.75</v>
      </c>
      <c r="CK87" s="15">
        <f t="shared" si="104"/>
        <v>0</v>
      </c>
      <c r="CM87" s="22">
        <f t="shared" si="105"/>
        <v>-8736.0473782777353</v>
      </c>
      <c r="CN87" s="15">
        <f t="shared" si="111"/>
        <v>-49.067466107993283</v>
      </c>
    </row>
    <row r="88" spans="1:92">
      <c r="A88" s="25"/>
      <c r="B88" s="80">
        <v>39783</v>
      </c>
      <c r="C88" s="81">
        <f t="shared" si="72"/>
        <v>2.6143999999999998</v>
      </c>
      <c r="D88" s="82">
        <f t="shared" si="106"/>
        <v>2.6928320000000001</v>
      </c>
      <c r="E88" s="73">
        <f t="shared" si="54"/>
        <v>-470.25047248756238</v>
      </c>
      <c r="F88" s="19">
        <f t="shared" si="70"/>
        <v>-1266.3055203296276</v>
      </c>
      <c r="G88" s="19">
        <f t="shared" si="56"/>
        <v>-1482.9026384999579</v>
      </c>
      <c r="H88" s="19">
        <f t="shared" si="71"/>
        <v>-216.5971181703303</v>
      </c>
      <c r="I88" s="62"/>
      <c r="J88" s="15" t="str">
        <f t="shared" si="112"/>
        <v>Ze względu na spadek kursu CHF, rata jest korzystniejsza niż bez klauzuli indeksacyjnej</v>
      </c>
      <c r="K88" s="15">
        <f>IF(B88&lt;=Dane_kredytowe!F$9,0,K87+1)</f>
        <v>8</v>
      </c>
      <c r="L88" s="83">
        <f t="shared" si="73"/>
        <v>1.2699999999999999E-2</v>
      </c>
      <c r="M88" s="84">
        <f>L88+Dane_kredytowe!F$12</f>
        <v>4.2700000000000002E-2</v>
      </c>
      <c r="N88" s="79">
        <f>MAX(Dane_kredytowe!F$17+SUM(AA$5:AA87)-SUM(X$5:X88)+SUM(W$5:W88),0)</f>
        <v>94437.694861574288</v>
      </c>
      <c r="O88" s="85">
        <f>MAX(Dane_kredytowe!F$8+SUM(V$5:V87)-SUM(S$5:S88)+SUM(R$5:R87),0)</f>
        <v>297802.79888562235</v>
      </c>
      <c r="P88" s="67">
        <f t="shared" si="59"/>
        <v>360</v>
      </c>
      <c r="Q88" s="127" t="str">
        <f>IF(AND(K88&gt;0,K88&lt;=Dane_kredytowe!F$16),"tak","nie")</f>
        <v>nie</v>
      </c>
      <c r="R88" s="69"/>
      <c r="S88" s="86">
        <f>IF(Dane_kredytowe!F$19=B88,O87+V87,_xlfn.XLOOKUP(B88,Dane_kredytowe!M$9:M$18,Dane_kredytowe!N$9:N$18,0))</f>
        <v>0</v>
      </c>
      <c r="T88" s="71">
        <f t="shared" si="74"/>
        <v>-1059.6816260346729</v>
      </c>
      <c r="U88" s="72">
        <f>IF(Q88="tak",T88,IF(P88-SUM(AB$5:AB88)+1&gt;0,IF(Dane_kredytowe!F$9&lt;B88,IF(SUM(AB$5:AB88)-Dane_kredytowe!F$16+1&gt;0,PMT(M88/12,P88+1-SUM(AB$5:AB88),O88),T88),0),0))</f>
        <v>-1482.9026384999579</v>
      </c>
      <c r="V88" s="72">
        <f t="shared" si="99"/>
        <v>-423.22101246528496</v>
      </c>
      <c r="W88" s="19" t="str">
        <f t="shared" si="100"/>
        <v xml:space="preserve"> </v>
      </c>
      <c r="X88" s="19">
        <f t="shared" si="113"/>
        <v>0</v>
      </c>
      <c r="Y88" s="73">
        <f t="shared" si="76"/>
        <v>-336.04079754910185</v>
      </c>
      <c r="Z88" s="19">
        <f>IF(P88-SUM(AB$5:AB88)+1&gt;0,IF(Dane_kredytowe!F$9&lt;B88,IF(SUM(AB$5:AB88)-Dane_kredytowe!F$16+1&gt;0,PMT(M88/12,P88+1-SUM(AB$5:AB88),N88),Y88),0),0)</f>
        <v>-470.25047248756238</v>
      </c>
      <c r="AA88" s="19">
        <f t="shared" si="68"/>
        <v>-134.20967493846052</v>
      </c>
      <c r="AB88" s="20">
        <f>IF(AND(Dane_kredytowe!F$9&lt;B88,SUM(AB$5:AB87)&lt;P87),1," ")</f>
        <v>1</v>
      </c>
      <c r="AD88" s="75">
        <f>IF(OR(B88&lt;Dane_kredytowe!F$15,Dane_kredytowe!F$15=""),-F88+S88,0)</f>
        <v>0</v>
      </c>
      <c r="AE88" s="75">
        <f t="shared" si="77"/>
        <v>470.25047248756238</v>
      </c>
      <c r="AG88" s="22">
        <f>Dane_kredytowe!F$17-SUM(AI$5:AI87)+SUM(W$42:W88)-SUM(X$42:X88)</f>
        <v>93284.64</v>
      </c>
      <c r="AH88" s="22">
        <f t="shared" si="78"/>
        <v>331.94</v>
      </c>
      <c r="AI88" s="22">
        <f t="shared" si="79"/>
        <v>264.26</v>
      </c>
      <c r="AJ88" s="22">
        <f t="shared" si="61"/>
        <v>596.20000000000005</v>
      </c>
      <c r="AK88" s="22">
        <f t="shared" si="80"/>
        <v>1605.47</v>
      </c>
      <c r="AL88" s="22">
        <f>Dane_kredytowe!F$8-SUM(AN$5:AN87)+SUM(R$42:R87)-SUM(S$42:S88)</f>
        <v>294166.69</v>
      </c>
      <c r="AM88" s="22">
        <f t="shared" si="81"/>
        <v>1046.74</v>
      </c>
      <c r="AN88" s="22">
        <f t="shared" si="82"/>
        <v>833.33</v>
      </c>
      <c r="AO88" s="22">
        <f t="shared" si="62"/>
        <v>1880.0700000000002</v>
      </c>
      <c r="AP88" s="22">
        <f t="shared" si="63"/>
        <v>-274.60000000000014</v>
      </c>
      <c r="AR88" s="87">
        <f t="shared" si="83"/>
        <v>39783</v>
      </c>
      <c r="AS88" s="23">
        <f>AS$5+SUM(AV$5:AV87)-SUM(X$5:X88)+SUM(W$5:W88)</f>
        <v>138037.82278929374</v>
      </c>
      <c r="AT88" s="22">
        <f t="shared" si="84"/>
        <v>-491.18458609190361</v>
      </c>
      <c r="AU88" s="22">
        <f>IF(AB88=1,IF(Q88="tak",AT88,PMT(M88/12,P88+1-SUM(AB$5:AB88),AS88)),0)</f>
        <v>-687.35637271713995</v>
      </c>
      <c r="AV88" s="22">
        <f t="shared" si="64"/>
        <v>-196.17178662523634</v>
      </c>
      <c r="AW88" s="22">
        <f t="shared" si="85"/>
        <v>-1797.0245008316906</v>
      </c>
      <c r="AY88" s="23">
        <f>AY$5+SUM(BA$5:BA87)+SUM(W$5:W87)-SUM(X$5:X87)</f>
        <v>136352.38143784183</v>
      </c>
      <c r="AZ88" s="23">
        <f t="shared" si="86"/>
        <v>-491.18458609190361</v>
      </c>
      <c r="BA88" s="23">
        <f t="shared" si="87"/>
        <v>-386.27</v>
      </c>
      <c r="BB88" s="23">
        <f t="shared" si="65"/>
        <v>-877.45458609190359</v>
      </c>
      <c r="BC88" s="23">
        <f t="shared" si="88"/>
        <v>-2294.0172698786728</v>
      </c>
      <c r="BE88" s="88">
        <f t="shared" si="89"/>
        <v>6.3799999999999996E-2</v>
      </c>
      <c r="BF88" s="89">
        <f>BE88+Dane_kredytowe!F$12</f>
        <v>9.3799999999999994E-2</v>
      </c>
      <c r="BG88" s="23">
        <f>BG$5+SUM(BH$5:BH87)+SUM(R$5:R87)-SUM(S$5:S87)</f>
        <v>298964.88108103728</v>
      </c>
      <c r="BH88" s="22">
        <f t="shared" si="69"/>
        <v>-159.84279612841328</v>
      </c>
      <c r="BI88" s="22">
        <f t="shared" si="67"/>
        <v>-2336.9088204501081</v>
      </c>
      <c r="BJ88" s="22">
        <f>IF(U88&lt;0,PMT(BF88/12,Dane_kredytowe!F$13-SUM(AB$5:AB88)+1,BG88),0)</f>
        <v>-2496.7516165785214</v>
      </c>
      <c r="BL88" s="23">
        <f>BL$5+SUM(BN$5:BN87)+SUM(R$5:R87)-SUM(S$5:S87)</f>
        <v>294166.66666666669</v>
      </c>
      <c r="BM88" s="23">
        <f t="shared" si="90"/>
        <v>-2299.4027777777778</v>
      </c>
      <c r="BN88" s="23">
        <f t="shared" si="91"/>
        <v>-833.33333333333337</v>
      </c>
      <c r="BO88" s="23">
        <f t="shared" si="92"/>
        <v>-3132.7361111111113</v>
      </c>
      <c r="BQ88" s="89">
        <f t="shared" si="93"/>
        <v>8.0499999999999988E-2</v>
      </c>
      <c r="BR88" s="23">
        <f>BR$5+SUM(BS$5:BS87)+SUM(R$5:R87)-SUM(S$5:S87)+SUM(BV$5:BV87)</f>
        <v>305869.59765002143</v>
      </c>
      <c r="BS88" s="22">
        <f t="shared" si="107"/>
        <v>-213.90694865335126</v>
      </c>
      <c r="BT88" s="22">
        <f t="shared" si="108"/>
        <v>-2051.8752175688937</v>
      </c>
      <c r="BU88" s="22">
        <f>IF(U88&lt;0,PMT(BQ88/12,Dane_kredytowe!F$13-SUM(AB$5:AB88)+1,BR88),0)</f>
        <v>-2265.782166222245</v>
      </c>
      <c r="BV88" s="22">
        <f t="shared" si="101"/>
        <v>999.4766458926174</v>
      </c>
      <c r="BX88" s="23">
        <f>BX$5+SUM(BZ$5:BZ87)+SUM(R$5:R87)-SUM(S$5:S87)+SUM(CB$5,CB87)</f>
        <v>295646.67192421708</v>
      </c>
      <c r="BY88" s="22">
        <f t="shared" si="94"/>
        <v>-1983.2964241582893</v>
      </c>
      <c r="BZ88" s="22">
        <f t="shared" si="95"/>
        <v>-837.52598278815037</v>
      </c>
      <c r="CA88" s="22">
        <f t="shared" si="109"/>
        <v>-2820.8224069464395</v>
      </c>
      <c r="CB88" s="22">
        <f t="shared" si="110"/>
        <v>1554.5168866168119</v>
      </c>
      <c r="CD88" s="22">
        <f>CD$5+SUM(CE$5:CE87)+SUM(R$5:R87)-SUM(S$5:S87)-SUM(CF$5:CF87)</f>
        <v>305691.35455233569</v>
      </c>
      <c r="CE88" s="22">
        <f t="shared" si="102"/>
        <v>1983.2964241582893</v>
      </c>
      <c r="CF88" s="22">
        <f t="shared" si="96"/>
        <v>1266.3055203296276</v>
      </c>
      <c r="CG88" s="22">
        <f t="shared" si="103"/>
        <v>-716.99090382866166</v>
      </c>
      <c r="CI88" s="89">
        <f t="shared" si="97"/>
        <v>0.68479999999999996</v>
      </c>
      <c r="CJ88" s="22">
        <f t="shared" si="98"/>
        <v>-867.17</v>
      </c>
      <c r="CK88" s="15">
        <f t="shared" si="104"/>
        <v>0</v>
      </c>
      <c r="CM88" s="22">
        <f t="shared" si="105"/>
        <v>-10002.352898607363</v>
      </c>
      <c r="CN88" s="15">
        <f t="shared" si="111"/>
        <v>-53.179176244262472</v>
      </c>
    </row>
    <row r="89" spans="1:92">
      <c r="A89" s="25">
        <v>2009</v>
      </c>
      <c r="B89" s="80">
        <v>39814</v>
      </c>
      <c r="C89" s="81">
        <f t="shared" si="72"/>
        <v>2.8271999999999999</v>
      </c>
      <c r="D89" s="82">
        <f t="shared" si="106"/>
        <v>2.9120159999999999</v>
      </c>
      <c r="E89" s="73">
        <f t="shared" si="54"/>
        <v>-437.87289652984822</v>
      </c>
      <c r="F89" s="19">
        <f t="shared" si="70"/>
        <v>-1275.0928806612624</v>
      </c>
      <c r="G89" s="19">
        <f t="shared" si="56"/>
        <v>-1380.802171568057</v>
      </c>
      <c r="H89" s="19">
        <f t="shared" si="71"/>
        <v>-105.70929090679465</v>
      </c>
      <c r="I89" s="62"/>
      <c r="J89" s="15" t="str">
        <f t="shared" si="112"/>
        <v>Ze względu na spadek kursu CHF, rata jest korzystniejsza niż bez klauzuli indeksacyjnej</v>
      </c>
      <c r="K89" s="15">
        <f>IF(B89&lt;=Dane_kredytowe!F$9,0,K88+1)</f>
        <v>9</v>
      </c>
      <c r="L89" s="83">
        <f t="shared" si="73"/>
        <v>6.7000000000000002E-3</v>
      </c>
      <c r="M89" s="84">
        <f>L89+Dane_kredytowe!F$12</f>
        <v>3.6699999999999997E-2</v>
      </c>
      <c r="N89" s="79">
        <f>MAX(Dane_kredytowe!F$17+SUM(AA$5:AA88)-SUM(X$5:X89)+SUM(W$5:W89),0)</f>
        <v>94303.485186635822</v>
      </c>
      <c r="O89" s="85">
        <f>MAX(Dane_kredytowe!F$8+SUM(V$5:V88)-SUM(S$5:S89)+SUM(R$5:R88),0)</f>
        <v>297379.57787315705</v>
      </c>
      <c r="P89" s="67">
        <f t="shared" si="59"/>
        <v>360</v>
      </c>
      <c r="Q89" s="127" t="str">
        <f>IF(AND(K89&gt;0,K89&lt;=Dane_kredytowe!F$16),"tak","nie")</f>
        <v>nie</v>
      </c>
      <c r="R89" s="69"/>
      <c r="S89" s="86">
        <f>IF(Dane_kredytowe!F$19=B89,O88+V88,_xlfn.XLOOKUP(B89,Dane_kredytowe!M$9:M$18,Dane_kredytowe!N$9:N$18,0))</f>
        <v>0</v>
      </c>
      <c r="T89" s="71">
        <f t="shared" si="74"/>
        <v>-909.48587566207186</v>
      </c>
      <c r="U89" s="72">
        <f>IF(Q89="tak",T89,IF(P89-SUM(AB$5:AB89)+1&gt;0,IF(Dane_kredytowe!F$9&lt;B89,IF(SUM(AB$5:AB89)-Dane_kredytowe!F$16+1&gt;0,PMT(M89/12,P89+1-SUM(AB$5:AB89),O89),T89),0),0))</f>
        <v>-1380.802171568057</v>
      </c>
      <c r="V89" s="72">
        <f t="shared" si="99"/>
        <v>-471.31629590598516</v>
      </c>
      <c r="W89" s="19" t="str">
        <f t="shared" si="100"/>
        <v xml:space="preserve"> </v>
      </c>
      <c r="X89" s="19">
        <f t="shared" si="113"/>
        <v>0</v>
      </c>
      <c r="Y89" s="73">
        <f t="shared" si="76"/>
        <v>-288.41149219579455</v>
      </c>
      <c r="Z89" s="19">
        <f>IF(P89-SUM(AB$5:AB89)+1&gt;0,IF(Dane_kredytowe!F$9&lt;B89,IF(SUM(AB$5:AB89)-Dane_kredytowe!F$16+1&gt;0,PMT(M89/12,P89+1-SUM(AB$5:AB89),N89),Y89),0),0)</f>
        <v>-437.87289652984822</v>
      </c>
      <c r="AA89" s="19">
        <f t="shared" si="68"/>
        <v>-149.46140433405367</v>
      </c>
      <c r="AB89" s="20">
        <f>IF(AND(Dane_kredytowe!F$9&lt;B89,SUM(AB$5:AB88)&lt;P88),1," ")</f>
        <v>1</v>
      </c>
      <c r="AD89" s="75">
        <f>IF(OR(B89&lt;Dane_kredytowe!F$15,Dane_kredytowe!F$15=""),-F89+S89,0)</f>
        <v>0</v>
      </c>
      <c r="AE89" s="75">
        <f t="shared" si="77"/>
        <v>437.87289652984822</v>
      </c>
      <c r="AG89" s="22">
        <f>Dane_kredytowe!F$17-SUM(AI$5:AI88)+SUM(W$42:W89)-SUM(X$42:X89)</f>
        <v>93020.38</v>
      </c>
      <c r="AH89" s="22">
        <f t="shared" si="78"/>
        <v>284.49</v>
      </c>
      <c r="AI89" s="22">
        <f t="shared" si="79"/>
        <v>264.26</v>
      </c>
      <c r="AJ89" s="22">
        <f t="shared" si="61"/>
        <v>548.75</v>
      </c>
      <c r="AK89" s="22">
        <f t="shared" si="80"/>
        <v>1597.97</v>
      </c>
      <c r="AL89" s="22">
        <f>Dane_kredytowe!F$8-SUM(AN$5:AN88)+SUM(R$42:R88)-SUM(S$42:S89)</f>
        <v>293333.36</v>
      </c>
      <c r="AM89" s="22">
        <f t="shared" si="81"/>
        <v>897.11</v>
      </c>
      <c r="AN89" s="22">
        <f t="shared" si="82"/>
        <v>833.33</v>
      </c>
      <c r="AO89" s="22">
        <f t="shared" si="62"/>
        <v>1730.44</v>
      </c>
      <c r="AP89" s="22">
        <f t="shared" si="63"/>
        <v>-132.47000000000003</v>
      </c>
      <c r="AR89" s="87">
        <f t="shared" si="83"/>
        <v>39814</v>
      </c>
      <c r="AS89" s="23">
        <f>AS$5+SUM(AV$5:AV88)-SUM(X$5:X89)+SUM(W$5:W89)</f>
        <v>137841.65100266851</v>
      </c>
      <c r="AT89" s="22">
        <f t="shared" si="84"/>
        <v>-421.56571598316117</v>
      </c>
      <c r="AU89" s="22">
        <f>IF(AB89=1,IF(Q89="tak",AT89,PMT(M89/12,P89+1-SUM(AB$5:AB89),AS89)),0)</f>
        <v>-640.03067190509728</v>
      </c>
      <c r="AV89" s="22">
        <f t="shared" si="64"/>
        <v>-218.46495592193611</v>
      </c>
      <c r="AW89" s="22">
        <f t="shared" si="85"/>
        <v>-1809.4947156100909</v>
      </c>
      <c r="AY89" s="23">
        <f>AY$5+SUM(BA$5:BA88)+SUM(W$5:W88)-SUM(X$5:X88)</f>
        <v>135966.11143784184</v>
      </c>
      <c r="AZ89" s="23">
        <f t="shared" si="86"/>
        <v>-421.56571598316117</v>
      </c>
      <c r="BA89" s="23">
        <f t="shared" si="87"/>
        <v>-386.27</v>
      </c>
      <c r="BB89" s="23">
        <f t="shared" si="65"/>
        <v>-807.83571598316121</v>
      </c>
      <c r="BC89" s="23">
        <f t="shared" si="88"/>
        <v>-2283.9131362275934</v>
      </c>
      <c r="BE89" s="88">
        <f t="shared" si="89"/>
        <v>5.5100000000000003E-2</v>
      </c>
      <c r="BF89" s="89">
        <f>BE89+Dane_kredytowe!F$12</f>
        <v>8.5100000000000009E-2</v>
      </c>
      <c r="BG89" s="23">
        <f>BG$5+SUM(BH$5:BH88)+SUM(R$5:R88)-SUM(S$5:S88)</f>
        <v>298805.03828490886</v>
      </c>
      <c r="BH89" s="22">
        <f t="shared" si="69"/>
        <v>-192.10356115514378</v>
      </c>
      <c r="BI89" s="22">
        <f t="shared" si="67"/>
        <v>-2119.0257298371457</v>
      </c>
      <c r="BJ89" s="22">
        <f>IF(U89&lt;0,PMT(BF89/12,Dane_kredytowe!F$13-SUM(AB$5:AB89)+1,BG89),0)</f>
        <v>-2311.1292909922895</v>
      </c>
      <c r="BL89" s="23">
        <f>BL$5+SUM(BN$5:BN88)+SUM(R$5:R88)-SUM(S$5:S88)</f>
        <v>293333.33333333331</v>
      </c>
      <c r="BM89" s="23">
        <f t="shared" si="90"/>
        <v>-2080.2222222222222</v>
      </c>
      <c r="BN89" s="23">
        <f t="shared" si="91"/>
        <v>-833.33333333333326</v>
      </c>
      <c r="BO89" s="23">
        <f t="shared" si="92"/>
        <v>-2913.5555555555557</v>
      </c>
      <c r="BQ89" s="89">
        <f t="shared" si="93"/>
        <v>7.1800000000000003E-2</v>
      </c>
      <c r="BR89" s="23">
        <f>BR$5+SUM(BS$5:BS88)+SUM(R$5:R88)-SUM(S$5:S88)+SUM(BV$5:BV88)</f>
        <v>306655.16734726069</v>
      </c>
      <c r="BS89" s="22">
        <f t="shared" si="107"/>
        <v>-256.08073349388383</v>
      </c>
      <c r="BT89" s="22">
        <f t="shared" si="108"/>
        <v>-1834.8200846277766</v>
      </c>
      <c r="BU89" s="22">
        <f>IF(U89&lt;0,PMT(BQ89/12,Dane_kredytowe!F$13-SUM(AB$5:AB89)+1,BR89),0)</f>
        <v>-2090.9008181216604</v>
      </c>
      <c r="BV89" s="22">
        <f t="shared" si="101"/>
        <v>815.80793746039808</v>
      </c>
      <c r="BX89" s="23">
        <f>BX$5+SUM(BZ$5:BZ88)+SUM(R$5:R88)-SUM(S$5:S88)+SUM(CB$5,CB88)</f>
        <v>294855.68208295695</v>
      </c>
      <c r="BY89" s="22">
        <f t="shared" si="94"/>
        <v>-1764.2198311296925</v>
      </c>
      <c r="BZ89" s="22">
        <f t="shared" si="95"/>
        <v>-837.6581877356731</v>
      </c>
      <c r="CA89" s="22">
        <f t="shared" si="109"/>
        <v>-2601.8780188653654</v>
      </c>
      <c r="CB89" s="22">
        <f t="shared" si="110"/>
        <v>1326.7851382041031</v>
      </c>
      <c r="CD89" s="22">
        <f>CD$5+SUM(CE$5:CE88)+SUM(R$5:R88)-SUM(S$5:S88)-SUM(CF$5:CF88)</f>
        <v>306408.34545616439</v>
      </c>
      <c r="CE89" s="22">
        <f t="shared" si="102"/>
        <v>1764.2198311296925</v>
      </c>
      <c r="CF89" s="22">
        <f t="shared" si="96"/>
        <v>1275.0928806612624</v>
      </c>
      <c r="CG89" s="22">
        <f t="shared" si="103"/>
        <v>-489.1269504684301</v>
      </c>
      <c r="CI89" s="89">
        <f t="shared" si="97"/>
        <v>0.6764</v>
      </c>
      <c r="CJ89" s="22">
        <f t="shared" si="98"/>
        <v>-862.47</v>
      </c>
      <c r="CK89" s="15">
        <f t="shared" si="104"/>
        <v>0</v>
      </c>
      <c r="CM89" s="22">
        <f t="shared" si="105"/>
        <v>-11277.445779268626</v>
      </c>
      <c r="CN89" s="15">
        <f t="shared" si="111"/>
        <v>-51.782271869808447</v>
      </c>
    </row>
    <row r="90" spans="1:92">
      <c r="A90" s="25"/>
      <c r="B90" s="80">
        <v>39845</v>
      </c>
      <c r="C90" s="81">
        <f t="shared" si="72"/>
        <v>3.1131000000000002</v>
      </c>
      <c r="D90" s="82">
        <f t="shared" si="106"/>
        <v>3.2064930000000005</v>
      </c>
      <c r="E90" s="73">
        <f t="shared" si="54"/>
        <v>-430.50964838035918</v>
      </c>
      <c r="F90" s="19">
        <f t="shared" si="70"/>
        <v>-1380.4261739640833</v>
      </c>
      <c r="G90" s="19">
        <f t="shared" si="56"/>
        <v>-1357.5826731355573</v>
      </c>
      <c r="H90" s="19">
        <f t="shared" si="71"/>
        <v>22.843500828525976</v>
      </c>
      <c r="I90" s="62"/>
      <c r="J90" s="15" t="str">
        <f t="shared" si="112"/>
        <v xml:space="preserve"> </v>
      </c>
      <c r="K90" s="15">
        <f>IF(B90&lt;=Dane_kredytowe!F$9,0,K89+1)</f>
        <v>10</v>
      </c>
      <c r="L90" s="83">
        <f t="shared" si="73"/>
        <v>5.3E-3</v>
      </c>
      <c r="M90" s="84">
        <f>L90+Dane_kredytowe!F$12</f>
        <v>3.5299999999999998E-2</v>
      </c>
      <c r="N90" s="79">
        <f>MAX(Dane_kredytowe!F$17+SUM(AA$5:AA89)-SUM(X$5:X90)+SUM(W$5:W90),0)</f>
        <v>94154.023782301767</v>
      </c>
      <c r="O90" s="85">
        <f>MAX(Dane_kredytowe!F$8+SUM(V$5:V89)-SUM(S$5:S90)+SUM(R$5:R89),0)</f>
        <v>296908.26157725108</v>
      </c>
      <c r="P90" s="67">
        <f t="shared" si="59"/>
        <v>360</v>
      </c>
      <c r="Q90" s="127" t="str">
        <f>IF(AND(K90&gt;0,K90&lt;=Dane_kredytowe!F$16),"tak","nie")</f>
        <v>nie</v>
      </c>
      <c r="R90" s="69"/>
      <c r="S90" s="86">
        <f>IF(Dane_kredytowe!F$19=B90,O89+V89,_xlfn.XLOOKUP(B90,Dane_kredytowe!M$9:M$18,Dane_kredytowe!N$9:N$18,0))</f>
        <v>0</v>
      </c>
      <c r="T90" s="71">
        <f t="shared" si="74"/>
        <v>-873.4051361397469</v>
      </c>
      <c r="U90" s="72">
        <f>IF(Q90="tak",T90,IF(P90-SUM(AB$5:AB90)+1&gt;0,IF(Dane_kredytowe!F$9&lt;B90,IF(SUM(AB$5:AB90)-Dane_kredytowe!F$16+1&gt;0,PMT(M90/12,P90+1-SUM(AB$5:AB90),O90),T90),0),0))</f>
        <v>-1357.5826731355573</v>
      </c>
      <c r="V90" s="72">
        <f t="shared" si="99"/>
        <v>-484.17753699581044</v>
      </c>
      <c r="W90" s="19" t="str">
        <f t="shared" si="100"/>
        <v xml:space="preserve"> </v>
      </c>
      <c r="X90" s="19">
        <f t="shared" si="113"/>
        <v>0</v>
      </c>
      <c r="Y90" s="73">
        <f t="shared" si="76"/>
        <v>-276.9697532929377</v>
      </c>
      <c r="Z90" s="19">
        <f>IF(P90-SUM(AB$5:AB90)+1&gt;0,IF(Dane_kredytowe!F$9&lt;B90,IF(SUM(AB$5:AB90)-Dane_kredytowe!F$16+1&gt;0,PMT(M90/12,P90+1-SUM(AB$5:AB90),N90),Y90),0),0)</f>
        <v>-430.50964838035918</v>
      </c>
      <c r="AA90" s="19">
        <f t="shared" si="68"/>
        <v>-153.53989508742148</v>
      </c>
      <c r="AB90" s="20">
        <f>IF(AND(Dane_kredytowe!F$9&lt;B90,SUM(AB$5:AB89)&lt;P89),1," ")</f>
        <v>1</v>
      </c>
      <c r="AD90" s="75">
        <f>IF(OR(B90&lt;Dane_kredytowe!F$15,Dane_kredytowe!F$15=""),-F90+S90,0)</f>
        <v>0</v>
      </c>
      <c r="AE90" s="75">
        <f t="shared" si="77"/>
        <v>430.50964838035918</v>
      </c>
      <c r="AG90" s="22">
        <f>Dane_kredytowe!F$17-SUM(AI$5:AI89)+SUM(W$42:W90)-SUM(X$42:X90)</f>
        <v>92756.12000000001</v>
      </c>
      <c r="AH90" s="22">
        <f t="shared" si="78"/>
        <v>272.86</v>
      </c>
      <c r="AI90" s="22">
        <f t="shared" si="79"/>
        <v>264.26</v>
      </c>
      <c r="AJ90" s="22">
        <f t="shared" si="61"/>
        <v>537.12</v>
      </c>
      <c r="AK90" s="22">
        <f t="shared" si="80"/>
        <v>1722.27</v>
      </c>
      <c r="AL90" s="22">
        <f>Dane_kredytowe!F$8-SUM(AN$5:AN89)+SUM(R$42:R89)-SUM(S$42:S90)</f>
        <v>292500.03000000003</v>
      </c>
      <c r="AM90" s="22">
        <f t="shared" si="81"/>
        <v>860.44</v>
      </c>
      <c r="AN90" s="22">
        <f t="shared" si="82"/>
        <v>833.33</v>
      </c>
      <c r="AO90" s="22">
        <f t="shared" si="62"/>
        <v>1693.77</v>
      </c>
      <c r="AP90" s="22">
        <f t="shared" si="63"/>
        <v>28.5</v>
      </c>
      <c r="AR90" s="87">
        <f t="shared" si="83"/>
        <v>39845</v>
      </c>
      <c r="AS90" s="23">
        <f>AS$5+SUM(AV$5:AV89)-SUM(X$5:X90)+SUM(W$5:W90)</f>
        <v>137623.18604674659</v>
      </c>
      <c r="AT90" s="22">
        <f t="shared" si="84"/>
        <v>-404.8415389541795</v>
      </c>
      <c r="AU90" s="22">
        <f>IF(AB90=1,IF(Q90="tak",AT90,PMT(M90/12,P90+1-SUM(AB$5:AB90),AS90)),0)</f>
        <v>-629.26794898283003</v>
      </c>
      <c r="AV90" s="22">
        <f t="shared" si="64"/>
        <v>-224.42641002865054</v>
      </c>
      <c r="AW90" s="22">
        <f t="shared" si="85"/>
        <v>-1958.9740519784484</v>
      </c>
      <c r="AY90" s="23">
        <f>AY$5+SUM(BA$5:BA89)+SUM(W$5:W89)-SUM(X$5:X89)</f>
        <v>135579.84143784185</v>
      </c>
      <c r="AZ90" s="23">
        <f t="shared" si="86"/>
        <v>-404.8415389541795</v>
      </c>
      <c r="BA90" s="23">
        <f t="shared" si="87"/>
        <v>-386.27</v>
      </c>
      <c r="BB90" s="23">
        <f t="shared" si="65"/>
        <v>-791.11153895417942</v>
      </c>
      <c r="BC90" s="23">
        <f t="shared" si="88"/>
        <v>-2462.8093319182562</v>
      </c>
      <c r="BE90" s="88">
        <f t="shared" si="89"/>
        <v>4.6899999999999997E-2</v>
      </c>
      <c r="BF90" s="89">
        <f>BE90+Dane_kredytowe!F$12</f>
        <v>7.6899999999999996E-2</v>
      </c>
      <c r="BG90" s="23">
        <f>BG$5+SUM(BH$5:BH89)+SUM(R$5:R89)-SUM(S$5:S89)</f>
        <v>298612.93472375371</v>
      </c>
      <c r="BH90" s="22">
        <f t="shared" si="69"/>
        <v>-227.44440611402456</v>
      </c>
      <c r="BI90" s="22">
        <f t="shared" si="67"/>
        <v>-1913.6112233547217</v>
      </c>
      <c r="BJ90" s="22">
        <f>IF(U90&lt;0,PMT(BF90/12,Dane_kredytowe!F$13-SUM(AB$5:AB90)+1,BG90),0)</f>
        <v>-2141.0556294687462</v>
      </c>
      <c r="BL90" s="23">
        <f>BL$5+SUM(BN$5:BN89)+SUM(R$5:R89)-SUM(S$5:S89)</f>
        <v>292500</v>
      </c>
      <c r="BM90" s="23">
        <f t="shared" si="90"/>
        <v>-1874.4375</v>
      </c>
      <c r="BN90" s="23">
        <f t="shared" si="91"/>
        <v>-833.33333333333337</v>
      </c>
      <c r="BO90" s="23">
        <f t="shared" si="92"/>
        <v>-2707.7708333333335</v>
      </c>
      <c r="BQ90" s="89">
        <f t="shared" si="93"/>
        <v>6.359999999999999E-2</v>
      </c>
      <c r="BR90" s="23">
        <f>BR$5+SUM(BS$5:BS89)+SUM(R$5:R89)-SUM(S$5:S89)+SUM(BV$5:BV89)</f>
        <v>307214.89455122722</v>
      </c>
      <c r="BS90" s="22">
        <f t="shared" si="107"/>
        <v>-301.85128969266225</v>
      </c>
      <c r="BT90" s="22">
        <f t="shared" si="108"/>
        <v>-1628.2389411215038</v>
      </c>
      <c r="BU90" s="22">
        <f>IF(U90&lt;0,PMT(BQ90/12,Dane_kredytowe!F$13-SUM(AB$5:AB90)+1,BR90),0)</f>
        <v>-1930.090230814166</v>
      </c>
      <c r="BV90" s="22">
        <f t="shared" si="101"/>
        <v>549.66405685008272</v>
      </c>
      <c r="BX90" s="23">
        <f>BX$5+SUM(BZ$5:BZ89)+SUM(R$5:R89)-SUM(S$5:S89)+SUM(CB$5,CB89)</f>
        <v>293790.29214680853</v>
      </c>
      <c r="BY90" s="22">
        <f t="shared" si="94"/>
        <v>-1557.0885483780849</v>
      </c>
      <c r="BZ90" s="22">
        <f t="shared" si="95"/>
        <v>-837.00937933563682</v>
      </c>
      <c r="CA90" s="22">
        <f t="shared" si="109"/>
        <v>-2394.0979277137217</v>
      </c>
      <c r="CB90" s="22">
        <f t="shared" si="110"/>
        <v>1013.6717537496384</v>
      </c>
      <c r="CD90" s="22">
        <f>CD$5+SUM(CE$5:CE89)+SUM(R$5:R89)-SUM(S$5:S89)-SUM(CF$5:CF89)</f>
        <v>306897.47240663285</v>
      </c>
      <c r="CE90" s="22">
        <f t="shared" si="102"/>
        <v>1557.0885483780849</v>
      </c>
      <c r="CF90" s="22">
        <f t="shared" si="96"/>
        <v>1380.4261739640833</v>
      </c>
      <c r="CG90" s="22">
        <f t="shared" si="103"/>
        <v>-176.66237441400153</v>
      </c>
      <c r="CI90" s="89">
        <f t="shared" si="97"/>
        <v>0.66149999999999998</v>
      </c>
      <c r="CJ90" s="22">
        <f t="shared" si="98"/>
        <v>-913.15</v>
      </c>
      <c r="CK90" s="15">
        <f t="shared" si="104"/>
        <v>0</v>
      </c>
      <c r="CM90" s="22">
        <f t="shared" si="105"/>
        <v>-12657.871953232709</v>
      </c>
      <c r="CN90" s="15">
        <f t="shared" si="111"/>
        <v>-49.471182883884502</v>
      </c>
    </row>
    <row r="91" spans="1:92">
      <c r="A91" s="25"/>
      <c r="B91" s="80">
        <v>39873</v>
      </c>
      <c r="C91" s="81">
        <f t="shared" si="72"/>
        <v>3.0687000000000002</v>
      </c>
      <c r="D91" s="82">
        <f t="shared" si="106"/>
        <v>3.1607610000000004</v>
      </c>
      <c r="E91" s="73">
        <f t="shared" si="54"/>
        <v>-430.50964838035918</v>
      </c>
      <c r="F91" s="19">
        <f t="shared" si="70"/>
        <v>-1360.7381067243525</v>
      </c>
      <c r="G91" s="19">
        <f t="shared" si="56"/>
        <v>-1357.5826731355576</v>
      </c>
      <c r="H91" s="19">
        <f t="shared" si="71"/>
        <v>3.1554335887949492</v>
      </c>
      <c r="I91" s="62"/>
      <c r="J91" s="15" t="str">
        <f t="shared" si="112"/>
        <v xml:space="preserve"> </v>
      </c>
      <c r="K91" s="15">
        <f>IF(B91&lt;=Dane_kredytowe!F$9,0,K90+1)</f>
        <v>11</v>
      </c>
      <c r="L91" s="83">
        <f t="shared" si="73"/>
        <v>5.3E-3</v>
      </c>
      <c r="M91" s="84">
        <f>L91+Dane_kredytowe!F$12</f>
        <v>3.5299999999999998E-2</v>
      </c>
      <c r="N91" s="79">
        <f>MAX(Dane_kredytowe!F$17+SUM(AA$5:AA90)-SUM(X$5:X91)+SUM(W$5:W91),0)</f>
        <v>94000.483887214345</v>
      </c>
      <c r="O91" s="85">
        <f>MAX(Dane_kredytowe!F$8+SUM(V$5:V90)-SUM(S$5:S91)+SUM(R$5:R90),0)</f>
        <v>296424.08404025529</v>
      </c>
      <c r="P91" s="67">
        <f t="shared" si="59"/>
        <v>360</v>
      </c>
      <c r="Q91" s="127" t="str">
        <f>IF(AND(K91&gt;0,K91&lt;=Dane_kredytowe!F$16),"tak","nie")</f>
        <v>nie</v>
      </c>
      <c r="R91" s="69"/>
      <c r="S91" s="86">
        <f>IF(Dane_kredytowe!F$19=B91,O90+V90,_xlfn.XLOOKUP(B91,Dane_kredytowe!M$9:M$18,Dane_kredytowe!N$9:N$18,0))</f>
        <v>0</v>
      </c>
      <c r="T91" s="71">
        <f t="shared" si="74"/>
        <v>-871.98084721841758</v>
      </c>
      <c r="U91" s="72">
        <f>IF(Q91="tak",T91,IF(P91-SUM(AB$5:AB91)+1&gt;0,IF(Dane_kredytowe!F$9&lt;B91,IF(SUM(AB$5:AB91)-Dane_kredytowe!F$16+1&gt;0,PMT(M91/12,P91+1-SUM(AB$5:AB91),O91),T91),0),0))</f>
        <v>-1357.5826731355576</v>
      </c>
      <c r="V91" s="72">
        <f t="shared" si="99"/>
        <v>-485.60182591713999</v>
      </c>
      <c r="W91" s="19" t="str">
        <f t="shared" si="100"/>
        <v xml:space="preserve"> </v>
      </c>
      <c r="X91" s="19">
        <f t="shared" si="113"/>
        <v>0</v>
      </c>
      <c r="Y91" s="73">
        <f t="shared" si="76"/>
        <v>-276.51809010155552</v>
      </c>
      <c r="Z91" s="19">
        <f>IF(P91-SUM(AB$5:AB91)+1&gt;0,IF(Dane_kredytowe!F$9&lt;B91,IF(SUM(AB$5:AB91)-Dane_kredytowe!F$16+1&gt;0,PMT(M91/12,P91+1-SUM(AB$5:AB91),N91),Y91),0),0)</f>
        <v>-430.50964838035918</v>
      </c>
      <c r="AA91" s="19">
        <f t="shared" si="68"/>
        <v>-153.99155827880367</v>
      </c>
      <c r="AB91" s="20">
        <f>IF(AND(Dane_kredytowe!F$9&lt;B91,SUM(AB$5:AB90)&lt;P90),1," ")</f>
        <v>1</v>
      </c>
      <c r="AD91" s="75">
        <f>IF(OR(B91&lt;Dane_kredytowe!F$15,Dane_kredytowe!F$15=""),-F91+S91,0)</f>
        <v>0</v>
      </c>
      <c r="AE91" s="75">
        <f t="shared" si="77"/>
        <v>430.50964838035918</v>
      </c>
      <c r="AG91" s="22">
        <f>Dane_kredytowe!F$17-SUM(AI$5:AI90)+SUM(W$42:W91)-SUM(X$42:X91)</f>
        <v>92491.86</v>
      </c>
      <c r="AH91" s="22">
        <f t="shared" si="78"/>
        <v>272.08</v>
      </c>
      <c r="AI91" s="22">
        <f t="shared" si="79"/>
        <v>264.26</v>
      </c>
      <c r="AJ91" s="22">
        <f t="shared" si="61"/>
        <v>536.33999999999992</v>
      </c>
      <c r="AK91" s="22">
        <f t="shared" si="80"/>
        <v>1695.24</v>
      </c>
      <c r="AL91" s="22">
        <f>Dane_kredytowe!F$8-SUM(AN$5:AN90)+SUM(R$42:R90)-SUM(S$42:S91)</f>
        <v>291666.7</v>
      </c>
      <c r="AM91" s="22">
        <f t="shared" si="81"/>
        <v>857.99</v>
      </c>
      <c r="AN91" s="22">
        <f t="shared" si="82"/>
        <v>833.33</v>
      </c>
      <c r="AO91" s="22">
        <f t="shared" si="62"/>
        <v>1691.3200000000002</v>
      </c>
      <c r="AP91" s="22">
        <f t="shared" si="63"/>
        <v>3.9199999999998454</v>
      </c>
      <c r="AR91" s="87">
        <f t="shared" si="83"/>
        <v>39873</v>
      </c>
      <c r="AS91" s="23">
        <f>AS$5+SUM(AV$5:AV90)-SUM(X$5:X91)+SUM(W$5:W91)</f>
        <v>137398.75963671794</v>
      </c>
      <c r="AT91" s="22">
        <f t="shared" si="84"/>
        <v>-404.1813512646786</v>
      </c>
      <c r="AU91" s="22">
        <f>IF(AB91=1,IF(Q91="tak",AT91,PMT(M91/12,P91+1-SUM(AB$5:AB91),AS91)),0)</f>
        <v>-629.26794898283003</v>
      </c>
      <c r="AV91" s="22">
        <f t="shared" si="64"/>
        <v>-225.08659771815144</v>
      </c>
      <c r="AW91" s="22">
        <f t="shared" si="85"/>
        <v>-1931.0345550436107</v>
      </c>
      <c r="AY91" s="23">
        <f>AY$5+SUM(BA$5:BA90)+SUM(W$5:W90)-SUM(X$5:X90)</f>
        <v>135193.57143784183</v>
      </c>
      <c r="AZ91" s="23">
        <f t="shared" si="86"/>
        <v>-404.1813512646786</v>
      </c>
      <c r="BA91" s="23">
        <f t="shared" si="87"/>
        <v>-386.27</v>
      </c>
      <c r="BB91" s="23">
        <f t="shared" si="65"/>
        <v>-790.45135126467858</v>
      </c>
      <c r="BC91" s="23">
        <f t="shared" si="88"/>
        <v>-2425.6580616259193</v>
      </c>
      <c r="BE91" s="88">
        <f t="shared" si="89"/>
        <v>4.2999999999999997E-2</v>
      </c>
      <c r="BF91" s="89">
        <f>BE91+Dane_kredytowe!F$12</f>
        <v>7.2999999999999995E-2</v>
      </c>
      <c r="BG91" s="23">
        <f>BG$5+SUM(BH$5:BH90)+SUM(R$5:R90)-SUM(S$5:S90)</f>
        <v>298385.49031763966</v>
      </c>
      <c r="BH91" s="22">
        <f t="shared" si="69"/>
        <v>-246.83541186023331</v>
      </c>
      <c r="BI91" s="22">
        <f t="shared" si="67"/>
        <v>-1815.1783994323077</v>
      </c>
      <c r="BJ91" s="22">
        <f>IF(U91&lt;0,PMT(BF91/12,Dane_kredytowe!F$13-SUM(AB$5:AB91)+1,BG91),0)</f>
        <v>-2062.013811292541</v>
      </c>
      <c r="BL91" s="23">
        <f>BL$5+SUM(BN$5:BN90)+SUM(R$5:R90)-SUM(S$5:S90)</f>
        <v>291666.66666666669</v>
      </c>
      <c r="BM91" s="23">
        <f t="shared" si="90"/>
        <v>-1774.3055555555557</v>
      </c>
      <c r="BN91" s="23">
        <f t="shared" si="91"/>
        <v>-833.33333333333337</v>
      </c>
      <c r="BO91" s="23">
        <f t="shared" si="92"/>
        <v>-2607.6388888888891</v>
      </c>
      <c r="BQ91" s="89">
        <f t="shared" si="93"/>
        <v>5.9699999999999996E-2</v>
      </c>
      <c r="BR91" s="23">
        <f>BR$5+SUM(BS$5:BS90)+SUM(R$5:R90)-SUM(S$5:S90)+SUM(BV$5:BV90)</f>
        <v>307462.70731838467</v>
      </c>
      <c r="BS91" s="22">
        <f t="shared" si="107"/>
        <v>-326.85062079049681</v>
      </c>
      <c r="BT91" s="22">
        <f t="shared" si="108"/>
        <v>-1529.6269689089638</v>
      </c>
      <c r="BU91" s="22">
        <f>IF(U91&lt;0,PMT(BQ91/12,Dane_kredytowe!F$13-SUM(AB$5:AB91)+1,BR91),0)</f>
        <v>-1856.4775896994606</v>
      </c>
      <c r="BV91" s="22">
        <f t="shared" si="101"/>
        <v>495.7394829751081</v>
      </c>
      <c r="BX91" s="23">
        <f>BX$5+SUM(BZ$5:BZ90)+SUM(R$5:R90)-SUM(S$5:S90)+SUM(CB$5,CB90)</f>
        <v>292640.16938301845</v>
      </c>
      <c r="BY91" s="22">
        <f t="shared" si="94"/>
        <v>-1455.8848426805168</v>
      </c>
      <c r="BZ91" s="22">
        <f t="shared" si="95"/>
        <v>-836.11476966576697</v>
      </c>
      <c r="CA91" s="22">
        <f t="shared" si="109"/>
        <v>-2291.9996123462838</v>
      </c>
      <c r="CB91" s="22">
        <f t="shared" si="110"/>
        <v>931.26150562193129</v>
      </c>
      <c r="CD91" s="22">
        <f>CD$5+SUM(CE$5:CE90)+SUM(R$5:R90)-SUM(S$5:S90)-SUM(CF$5:CF90)</f>
        <v>307074.13478104689</v>
      </c>
      <c r="CE91" s="22">
        <f t="shared" si="102"/>
        <v>1455.8848426805168</v>
      </c>
      <c r="CF91" s="22">
        <f t="shared" si="96"/>
        <v>1360.7381067243525</v>
      </c>
      <c r="CG91" s="22">
        <f t="shared" si="103"/>
        <v>-95.146735956164321</v>
      </c>
      <c r="CI91" s="89">
        <f t="shared" si="97"/>
        <v>0.64990000000000003</v>
      </c>
      <c r="CJ91" s="22">
        <f t="shared" si="98"/>
        <v>-884.34</v>
      </c>
      <c r="CK91" s="15">
        <f t="shared" si="104"/>
        <v>0</v>
      </c>
      <c r="CM91" s="22">
        <f t="shared" si="105"/>
        <v>-14018.610059957062</v>
      </c>
      <c r="CN91" s="15">
        <f t="shared" si="111"/>
        <v>-50.233352714846127</v>
      </c>
    </row>
    <row r="92" spans="1:92">
      <c r="A92" s="25"/>
      <c r="B92" s="80">
        <v>39904</v>
      </c>
      <c r="C92" s="81">
        <f t="shared" si="72"/>
        <v>2.9129</v>
      </c>
      <c r="D92" s="82">
        <f t="shared" si="106"/>
        <v>3.0002870000000001</v>
      </c>
      <c r="E92" s="73">
        <f t="shared" si="54"/>
        <v>-423.76337095413038</v>
      </c>
      <c r="F92" s="19">
        <f t="shared" si="70"/>
        <v>-1271.4117329498551</v>
      </c>
      <c r="G92" s="19">
        <f t="shared" si="56"/>
        <v>-1336.3087495975603</v>
      </c>
      <c r="H92" s="19">
        <f t="shared" si="71"/>
        <v>-64.897016647705186</v>
      </c>
      <c r="I92" s="62"/>
      <c r="J92" s="15" t="str">
        <f t="shared" si="112"/>
        <v>Ze względu na spadek kursu CHF, rata jest korzystniejsza niż bez klauzuli indeksacyjnej</v>
      </c>
      <c r="K92" s="15">
        <f>IF(B92&lt;=Dane_kredytowe!F$9,0,K91+1)</f>
        <v>12</v>
      </c>
      <c r="L92" s="83">
        <f t="shared" si="73"/>
        <v>4.0000000000000001E-3</v>
      </c>
      <c r="M92" s="84">
        <f>L92+Dane_kredytowe!F$12</f>
        <v>3.4000000000000002E-2</v>
      </c>
      <c r="N92" s="79">
        <f>MAX(Dane_kredytowe!F$17+SUM(AA$5:AA91)-SUM(X$5:X92)+SUM(W$5:W92),0)</f>
        <v>93846.49232893555</v>
      </c>
      <c r="O92" s="85">
        <f>MAX(Dane_kredytowe!F$8+SUM(V$5:V91)-SUM(S$5:S92)+SUM(R$5:R91),0)</f>
        <v>295938.48221433815</v>
      </c>
      <c r="P92" s="67">
        <f t="shared" si="59"/>
        <v>360</v>
      </c>
      <c r="Q92" s="127" t="str">
        <f>IF(AND(K92&gt;0,K92&lt;=Dane_kredytowe!F$16),"tak","nie")</f>
        <v>nie</v>
      </c>
      <c r="R92" s="69"/>
      <c r="S92" s="86">
        <f>IF(Dane_kredytowe!F$19=B92,O91+V91,_xlfn.XLOOKUP(B92,Dane_kredytowe!M$9:M$18,Dane_kredytowe!N$9:N$18,0))</f>
        <v>0</v>
      </c>
      <c r="T92" s="71">
        <f t="shared" si="74"/>
        <v>-838.49236627395805</v>
      </c>
      <c r="U92" s="72">
        <f>IF(Q92="tak",T92,IF(P92-SUM(AB$5:AB92)+1&gt;0,IF(Dane_kredytowe!F$9&lt;B92,IF(SUM(AB$5:AB92)-Dane_kredytowe!F$16+1&gt;0,PMT(M92/12,P92+1-SUM(AB$5:AB92),O92),T92),0),0))</f>
        <v>-1336.3087495975603</v>
      </c>
      <c r="V92" s="72">
        <f t="shared" si="99"/>
        <v>-497.81638332360228</v>
      </c>
      <c r="W92" s="19" t="str">
        <f t="shared" si="100"/>
        <v xml:space="preserve"> </v>
      </c>
      <c r="X92" s="19">
        <f t="shared" si="113"/>
        <v>0</v>
      </c>
      <c r="Y92" s="73">
        <f t="shared" si="76"/>
        <v>-265.89839493198411</v>
      </c>
      <c r="Z92" s="19">
        <f>IF(P92-SUM(AB$5:AB92)+1&gt;0,IF(Dane_kredytowe!F$9&lt;B92,IF(SUM(AB$5:AB92)-Dane_kredytowe!F$16+1&gt;0,PMT(M92/12,P92+1-SUM(AB$5:AB92),N92),Y92),0),0)</f>
        <v>-423.76337095413038</v>
      </c>
      <c r="AA92" s="19">
        <f t="shared" si="68"/>
        <v>-157.86497602214627</v>
      </c>
      <c r="AB92" s="20">
        <f>IF(AND(Dane_kredytowe!F$9&lt;B92,SUM(AB$5:AB91)&lt;P91),1," ")</f>
        <v>1</v>
      </c>
      <c r="AD92" s="75">
        <f>IF(OR(B92&lt;Dane_kredytowe!F$15,Dane_kredytowe!F$15=""),-F92+S92,0)</f>
        <v>0</v>
      </c>
      <c r="AE92" s="75">
        <f t="shared" si="77"/>
        <v>423.76337095413038</v>
      </c>
      <c r="AG92" s="22">
        <f>Dane_kredytowe!F$17-SUM(AI$5:AI91)+SUM(W$42:W92)-SUM(X$42:X92)</f>
        <v>92227.6</v>
      </c>
      <c r="AH92" s="22">
        <f t="shared" si="78"/>
        <v>261.31</v>
      </c>
      <c r="AI92" s="22">
        <f t="shared" si="79"/>
        <v>264.26</v>
      </c>
      <c r="AJ92" s="22">
        <f t="shared" si="61"/>
        <v>525.56999999999994</v>
      </c>
      <c r="AK92" s="22">
        <f t="shared" si="80"/>
        <v>1576.86</v>
      </c>
      <c r="AL92" s="22">
        <f>Dane_kredytowe!F$8-SUM(AN$5:AN91)+SUM(R$42:R91)-SUM(S$42:S92)</f>
        <v>290833.37</v>
      </c>
      <c r="AM92" s="22">
        <f t="shared" si="81"/>
        <v>824.03</v>
      </c>
      <c r="AN92" s="22">
        <f t="shared" si="82"/>
        <v>833.33</v>
      </c>
      <c r="AO92" s="22">
        <f t="shared" si="62"/>
        <v>1657.3600000000001</v>
      </c>
      <c r="AP92" s="22">
        <f t="shared" si="63"/>
        <v>-80.500000000000227</v>
      </c>
      <c r="AR92" s="87">
        <f t="shared" si="83"/>
        <v>39904</v>
      </c>
      <c r="AS92" s="23">
        <f>AS$5+SUM(AV$5:AV91)-SUM(X$5:X92)+SUM(W$5:W92)</f>
        <v>137173.67303899978</v>
      </c>
      <c r="AT92" s="22">
        <f t="shared" si="84"/>
        <v>-388.65874027716609</v>
      </c>
      <c r="AU92" s="22">
        <f>IF(AB92=1,IF(Q92="tak",AT92,PMT(M92/12,P92+1-SUM(AB$5:AB92),AS92)),0)</f>
        <v>-619.40704069600463</v>
      </c>
      <c r="AV92" s="22">
        <f t="shared" si="64"/>
        <v>-230.74830041883854</v>
      </c>
      <c r="AW92" s="22">
        <f t="shared" si="85"/>
        <v>-1804.2707688433918</v>
      </c>
      <c r="AY92" s="23">
        <f>AY$5+SUM(BA$5:BA91)+SUM(W$5:W91)-SUM(X$5:X91)</f>
        <v>134807.30143784184</v>
      </c>
      <c r="AZ92" s="23">
        <f t="shared" si="86"/>
        <v>-388.65874027716609</v>
      </c>
      <c r="BA92" s="23">
        <f t="shared" si="87"/>
        <v>-386.27</v>
      </c>
      <c r="BB92" s="23">
        <f t="shared" si="65"/>
        <v>-774.92874027716607</v>
      </c>
      <c r="BC92" s="23">
        <f t="shared" si="88"/>
        <v>-2257.2899275533573</v>
      </c>
      <c r="BE92" s="88">
        <f t="shared" si="89"/>
        <v>4.2000000000000003E-2</v>
      </c>
      <c r="BF92" s="89">
        <f>BE92+Dane_kredytowe!F$12</f>
        <v>7.2000000000000008E-2</v>
      </c>
      <c r="BG92" s="23">
        <f>BG$5+SUM(BH$5:BH91)+SUM(R$5:R91)-SUM(S$5:S91)</f>
        <v>298138.65490577946</v>
      </c>
      <c r="BH92" s="22">
        <f t="shared" si="69"/>
        <v>-253.13582199174175</v>
      </c>
      <c r="BI92" s="22">
        <f t="shared" si="67"/>
        <v>-1788.8319294346768</v>
      </c>
      <c r="BJ92" s="22">
        <f>IF(U92&lt;0,PMT(BF92/12,Dane_kredytowe!F$13-SUM(AB$5:AB92)+1,BG92),0)</f>
        <v>-2041.9677514264185</v>
      </c>
      <c r="BL92" s="23">
        <f>BL$5+SUM(BN$5:BN91)+SUM(R$5:R91)-SUM(S$5:S91)</f>
        <v>290833.33333333331</v>
      </c>
      <c r="BM92" s="23">
        <f t="shared" si="90"/>
        <v>-1745</v>
      </c>
      <c r="BN92" s="23">
        <f t="shared" si="91"/>
        <v>-833.33333333333326</v>
      </c>
      <c r="BO92" s="23">
        <f t="shared" si="92"/>
        <v>-2578.333333333333</v>
      </c>
      <c r="BQ92" s="89">
        <f t="shared" si="93"/>
        <v>5.8700000000000002E-2</v>
      </c>
      <c r="BR92" s="23">
        <f>BR$5+SUM(BS$5:BS91)+SUM(R$5:R91)-SUM(S$5:S91)+SUM(BV$5:BV91)</f>
        <v>307631.59618056926</v>
      </c>
      <c r="BS92" s="22">
        <f t="shared" si="107"/>
        <v>-335.11014071202317</v>
      </c>
      <c r="BT92" s="22">
        <f t="shared" si="108"/>
        <v>-1504.8312246499515</v>
      </c>
      <c r="BU92" s="22">
        <f>IF(U92&lt;0,PMT(BQ92/12,Dane_kredytowe!F$13-SUM(AB$5:AB92)+1,BR92),0)</f>
        <v>-1839.9413653619747</v>
      </c>
      <c r="BV92" s="22">
        <f t="shared" si="101"/>
        <v>568.52963241211955</v>
      </c>
      <c r="BX92" s="23">
        <f>BX$5+SUM(BZ$5:BZ91)+SUM(R$5:R91)-SUM(S$5:S91)+SUM(CB$5,CB91)</f>
        <v>291721.64436522499</v>
      </c>
      <c r="BY92" s="22">
        <f t="shared" si="94"/>
        <v>-1427.0050436865588</v>
      </c>
      <c r="BZ92" s="22">
        <f t="shared" si="95"/>
        <v>-835.8786371496418</v>
      </c>
      <c r="CA92" s="22">
        <f t="shared" si="109"/>
        <v>-2262.8836808362007</v>
      </c>
      <c r="CB92" s="22">
        <f t="shared" si="110"/>
        <v>991.47194788634556</v>
      </c>
      <c r="CD92" s="22">
        <f>CD$5+SUM(CE$5:CE91)+SUM(R$5:R91)-SUM(S$5:S91)-SUM(CF$5:CF91)</f>
        <v>307169.28151700296</v>
      </c>
      <c r="CE92" s="22">
        <f t="shared" si="102"/>
        <v>1427.0050436865588</v>
      </c>
      <c r="CF92" s="22">
        <f t="shared" si="96"/>
        <v>1271.4117329498551</v>
      </c>
      <c r="CG92" s="22">
        <f t="shared" si="103"/>
        <v>-155.59331073670364</v>
      </c>
      <c r="CI92" s="89">
        <f t="shared" si="97"/>
        <v>0.63839999999999997</v>
      </c>
      <c r="CJ92" s="22">
        <f t="shared" si="98"/>
        <v>-811.67</v>
      </c>
      <c r="CK92" s="15">
        <f t="shared" si="104"/>
        <v>0</v>
      </c>
      <c r="CM92" s="22">
        <f t="shared" si="105"/>
        <v>-15290.021792906917</v>
      </c>
      <c r="CN92" s="15">
        <f t="shared" si="111"/>
        <v>-53.515076275174209</v>
      </c>
    </row>
    <row r="93" spans="1:92">
      <c r="A93" s="25"/>
      <c r="B93" s="80">
        <v>39934</v>
      </c>
      <c r="C93" s="81">
        <f t="shared" si="72"/>
        <v>2.9167999999999998</v>
      </c>
      <c r="D93" s="82">
        <f t="shared" si="106"/>
        <v>3.0043039999999999</v>
      </c>
      <c r="E93" s="73">
        <f t="shared" si="54"/>
        <v>-423.76337095413038</v>
      </c>
      <c r="F93" s="19">
        <f t="shared" si="70"/>
        <v>-1273.1139904109777</v>
      </c>
      <c r="G93" s="19">
        <f t="shared" si="56"/>
        <v>-1336.3087495975601</v>
      </c>
      <c r="H93" s="19">
        <f t="shared" si="71"/>
        <v>-63.19475918658236</v>
      </c>
      <c r="I93" s="62"/>
      <c r="J93" s="15" t="str">
        <f t="shared" si="112"/>
        <v>Ze względu na spadek kursu CHF, rata jest korzystniejsza niż bez klauzuli indeksacyjnej</v>
      </c>
      <c r="K93" s="15">
        <f>IF(B93&lt;=Dane_kredytowe!F$9,0,K92+1)</f>
        <v>13</v>
      </c>
      <c r="L93" s="83">
        <f t="shared" si="73"/>
        <v>4.0000000000000001E-3</v>
      </c>
      <c r="M93" s="84">
        <f>L93+Dane_kredytowe!F$12</f>
        <v>3.4000000000000002E-2</v>
      </c>
      <c r="N93" s="79">
        <f>MAX(Dane_kredytowe!F$17+SUM(AA$5:AA92)-SUM(X$5:X93)+SUM(W$5:W93),0)</f>
        <v>93688.627352913405</v>
      </c>
      <c r="O93" s="85">
        <f>MAX(Dane_kredytowe!F$8+SUM(V$5:V92)-SUM(S$5:S93)+SUM(R$5:R92),0)</f>
        <v>295440.66583101451</v>
      </c>
      <c r="P93" s="67">
        <f>P92</f>
        <v>360</v>
      </c>
      <c r="Q93" s="127" t="str">
        <f>IF(AND(K93&gt;0,K93&lt;=Dane_kredytowe!F$16),"tak","nie")</f>
        <v>nie</v>
      </c>
      <c r="R93" s="69"/>
      <c r="S93" s="86">
        <f>IF(Dane_kredytowe!F$19=B93,O92+V92,_xlfn.XLOOKUP(B93,Dane_kredytowe!M$9:M$18,Dane_kredytowe!N$9:N$18,0))</f>
        <v>0</v>
      </c>
      <c r="T93" s="71">
        <f t="shared" si="74"/>
        <v>-837.08188652120782</v>
      </c>
      <c r="U93" s="72">
        <f>IF(Q93="tak",T93,IF(P93-SUM(AB$5:AB93)+1&gt;0,IF(Dane_kredytowe!F$9&lt;B93,IF(SUM(AB$5:AB93)-Dane_kredytowe!F$16+1&gt;0,PMT(M93/12,P93+1-SUM(AB$5:AB93),O93),T93),0),0))</f>
        <v>-1336.3087495975601</v>
      </c>
      <c r="V93" s="72">
        <f t="shared" si="99"/>
        <v>-499.22686307635229</v>
      </c>
      <c r="W93" s="19" t="str">
        <f t="shared" si="100"/>
        <v xml:space="preserve"> </v>
      </c>
      <c r="X93" s="19">
        <f t="shared" si="113"/>
        <v>0</v>
      </c>
      <c r="Y93" s="73">
        <f t="shared" si="76"/>
        <v>-265.45111083325463</v>
      </c>
      <c r="Z93" s="19">
        <f>IF(P93-SUM(AB$5:AB93)+1&gt;0,IF(Dane_kredytowe!F$9&lt;B93,IF(SUM(AB$5:AB93)-Dane_kredytowe!F$16+1&gt;0,PMT(M93/12,P93+1-SUM(AB$5:AB93),N93),Y93),0),0)</f>
        <v>-423.76337095413038</v>
      </c>
      <c r="AA93" s="19">
        <f t="shared" si="68"/>
        <v>-158.31226012087575</v>
      </c>
      <c r="AB93" s="20">
        <f>IF(AND(Dane_kredytowe!F$9&lt;B93,SUM(AB$5:AB92)&lt;P92),1," ")</f>
        <v>1</v>
      </c>
      <c r="AD93" s="75">
        <f>IF(OR(B93&lt;Dane_kredytowe!F$15,Dane_kredytowe!F$15=""),-F93+S93,0)</f>
        <v>0</v>
      </c>
      <c r="AE93" s="75">
        <f t="shared" si="77"/>
        <v>423.76337095413038</v>
      </c>
      <c r="AG93" s="22">
        <f>Dane_kredytowe!F$17-SUM(AI$5:AI92)+SUM(W$42:W93)-SUM(X$42:X93)</f>
        <v>91963.340000000011</v>
      </c>
      <c r="AH93" s="22">
        <f t="shared" si="78"/>
        <v>260.56</v>
      </c>
      <c r="AI93" s="22">
        <f t="shared" si="79"/>
        <v>264.26</v>
      </c>
      <c r="AJ93" s="22">
        <f t="shared" si="61"/>
        <v>524.81999999999994</v>
      </c>
      <c r="AK93" s="22">
        <f t="shared" si="80"/>
        <v>1576.72</v>
      </c>
      <c r="AL93" s="22">
        <f>Dane_kredytowe!F$8-SUM(AN$5:AN92)+SUM(R$42:R92)-SUM(S$42:S93)</f>
        <v>290000.03999999998</v>
      </c>
      <c r="AM93" s="22">
        <f t="shared" si="81"/>
        <v>821.67</v>
      </c>
      <c r="AN93" s="22">
        <f t="shared" si="82"/>
        <v>833.33</v>
      </c>
      <c r="AO93" s="22">
        <f t="shared" si="62"/>
        <v>1655</v>
      </c>
      <c r="AP93" s="22">
        <f t="shared" si="63"/>
        <v>-78.279999999999973</v>
      </c>
      <c r="AR93" s="87">
        <f t="shared" si="83"/>
        <v>39934</v>
      </c>
      <c r="AS93" s="23">
        <f>AS$5+SUM(AV$5:AV92)-SUM(X$5:X93)+SUM(W$5:W93)</f>
        <v>136942.92473858094</v>
      </c>
      <c r="AT93" s="22">
        <f t="shared" si="84"/>
        <v>-388.00495342597941</v>
      </c>
      <c r="AU93" s="22">
        <f>IF(AB93=1,IF(Q93="tak",AT93,PMT(M93/12,P93+1-SUM(AB$5:AB93),AS93)),0)</f>
        <v>-619.40704069600463</v>
      </c>
      <c r="AV93" s="22">
        <f t="shared" si="64"/>
        <v>-231.40208727002522</v>
      </c>
      <c r="AW93" s="22">
        <f t="shared" si="85"/>
        <v>-1806.6864563021063</v>
      </c>
      <c r="AY93" s="23">
        <f>AY$5+SUM(BA$5:BA92)+SUM(W$5:W92)-SUM(X$5:X92)</f>
        <v>134421.03143784186</v>
      </c>
      <c r="AZ93" s="23">
        <f t="shared" si="86"/>
        <v>-388.00495342597941</v>
      </c>
      <c r="BA93" s="23">
        <f t="shared" si="87"/>
        <v>-386.27</v>
      </c>
      <c r="BB93" s="23">
        <f t="shared" si="65"/>
        <v>-774.27495342597945</v>
      </c>
      <c r="BC93" s="23">
        <f t="shared" si="88"/>
        <v>-2258.4051841528967</v>
      </c>
      <c r="BE93" s="88">
        <f t="shared" si="89"/>
        <v>4.5199999999999997E-2</v>
      </c>
      <c r="BF93" s="89">
        <f>BE93+Dane_kredytowe!F$12</f>
        <v>7.5199999999999989E-2</v>
      </c>
      <c r="BG93" s="23">
        <f>BG$5+SUM(BH$5:BH92)+SUM(R$5:R92)-SUM(S$5:S92)</f>
        <v>297885.51908378769</v>
      </c>
      <c r="BH93" s="22">
        <f t="shared" si="69"/>
        <v>-239.53118160854842</v>
      </c>
      <c r="BI93" s="22">
        <f t="shared" si="67"/>
        <v>-1866.7492529250692</v>
      </c>
      <c r="BJ93" s="22">
        <f>IF(U93&lt;0,PMT(BF93/12,Dane_kredytowe!F$13-SUM(AB$5:AB93)+1,BG93),0)</f>
        <v>-2106.2804345336176</v>
      </c>
      <c r="BL93" s="23">
        <f>BL$5+SUM(BN$5:BN92)+SUM(R$5:R92)-SUM(S$5:S92)</f>
        <v>290000</v>
      </c>
      <c r="BM93" s="23">
        <f t="shared" si="90"/>
        <v>-1817.333333333333</v>
      </c>
      <c r="BN93" s="23">
        <f t="shared" si="91"/>
        <v>-833.33333333333337</v>
      </c>
      <c r="BO93" s="23">
        <f t="shared" si="92"/>
        <v>-2650.6666666666665</v>
      </c>
      <c r="BQ93" s="89">
        <f t="shared" si="93"/>
        <v>6.1899999999999997E-2</v>
      </c>
      <c r="BR93" s="23">
        <f>BR$5+SUM(BS$5:BS92)+SUM(R$5:R92)-SUM(S$5:S92)+SUM(BV$5:BV92)</f>
        <v>307865.01567226939</v>
      </c>
      <c r="BS93" s="22">
        <f t="shared" si="107"/>
        <v>-318.09987429637545</v>
      </c>
      <c r="BT93" s="22">
        <f t="shared" si="108"/>
        <v>-1588.0703725094563</v>
      </c>
      <c r="BU93" s="22">
        <f>IF(U93&lt;0,PMT(BQ93/12,Dane_kredytowe!F$13-SUM(AB$5:AB93)+1,BR93),0)</f>
        <v>-1906.1702468058318</v>
      </c>
      <c r="BV93" s="22">
        <f t="shared" si="101"/>
        <v>633.05625639485402</v>
      </c>
      <c r="BX93" s="23">
        <f>BX$5+SUM(BZ$5:BZ92)+SUM(R$5:R92)-SUM(S$5:S92)+SUM(CB$5,CB92)</f>
        <v>290945.97617033974</v>
      </c>
      <c r="BY93" s="22">
        <f t="shared" si="94"/>
        <v>-1500.7963270786693</v>
      </c>
      <c r="BZ93" s="22">
        <f t="shared" si="95"/>
        <v>-836.05165566189578</v>
      </c>
      <c r="CA93" s="22">
        <f t="shared" si="109"/>
        <v>-2336.8479827405649</v>
      </c>
      <c r="CB93" s="22">
        <f t="shared" si="110"/>
        <v>1063.7339923295872</v>
      </c>
      <c r="CD93" s="22">
        <f>CD$5+SUM(CE$5:CE92)+SUM(R$5:R92)-SUM(S$5:S92)-SUM(CF$5:CF92)</f>
        <v>307324.87482773967</v>
      </c>
      <c r="CE93" s="22">
        <f t="shared" si="102"/>
        <v>1500.7963270786693</v>
      </c>
      <c r="CF93" s="22">
        <f t="shared" si="96"/>
        <v>1273.1139904109777</v>
      </c>
      <c r="CG93" s="22">
        <f t="shared" si="103"/>
        <v>-227.68233666769152</v>
      </c>
      <c r="CI93" s="89">
        <f t="shared" si="97"/>
        <v>0.63029999999999997</v>
      </c>
      <c r="CJ93" s="22">
        <f t="shared" si="98"/>
        <v>-802.44</v>
      </c>
      <c r="CK93" s="15">
        <f t="shared" si="104"/>
        <v>0</v>
      </c>
      <c r="CM93" s="22">
        <f t="shared" si="105"/>
        <v>-16563.135783317895</v>
      </c>
      <c r="CN93" s="15">
        <f t="shared" si="111"/>
        <v>-62.387811450497402</v>
      </c>
    </row>
    <row r="94" spans="1:92">
      <c r="A94" s="25"/>
      <c r="B94" s="80">
        <v>39965</v>
      </c>
      <c r="C94" s="81">
        <f t="shared" si="72"/>
        <v>2.9750999999999999</v>
      </c>
      <c r="D94" s="82">
        <f t="shared" si="106"/>
        <v>3.0643530000000001</v>
      </c>
      <c r="E94" s="73">
        <f t="shared" si="54"/>
        <v>-423.76337095413032</v>
      </c>
      <c r="F94" s="19">
        <f t="shared" si="70"/>
        <v>-1298.5605570734022</v>
      </c>
      <c r="G94" s="19">
        <f t="shared" si="56"/>
        <v>-1336.3087495975601</v>
      </c>
      <c r="H94" s="19">
        <f t="shared" si="71"/>
        <v>-37.748192524157957</v>
      </c>
      <c r="I94" s="62"/>
      <c r="J94" s="15" t="str">
        <f t="shared" si="112"/>
        <v>Ze względu na spadek kursu CHF, rata jest korzystniejsza niż bez klauzuli indeksacyjnej</v>
      </c>
      <c r="K94" s="15">
        <f>IF(B94&lt;=Dane_kredytowe!F$9,0,K93+1)</f>
        <v>14</v>
      </c>
      <c r="L94" s="83">
        <f t="shared" si="73"/>
        <v>4.0000000000000001E-3</v>
      </c>
      <c r="M94" s="84">
        <f>L94+Dane_kredytowe!F$12</f>
        <v>3.4000000000000002E-2</v>
      </c>
      <c r="N94" s="79">
        <f>MAX(Dane_kredytowe!F$17+SUM(AA$5:AA93)-SUM(X$5:X94)+SUM(W$5:W94),0)</f>
        <v>93530.315092792516</v>
      </c>
      <c r="O94" s="85">
        <f>MAX(Dane_kredytowe!F$8+SUM(V$5:V93)-SUM(S$5:S94)+SUM(R$5:R93),0)</f>
        <v>294941.43896793819</v>
      </c>
      <c r="P94" s="67">
        <f t="shared" si="59"/>
        <v>360</v>
      </c>
      <c r="Q94" s="127" t="str">
        <f>IF(AND(K94&gt;0,K94&lt;=Dane_kredytowe!F$16),"tak","nie")</f>
        <v>nie</v>
      </c>
      <c r="R94" s="69"/>
      <c r="S94" s="86">
        <f>IF(Dane_kredytowe!F$19=B94,O93+V93,_xlfn.XLOOKUP(B94,Dane_kredytowe!M$9:M$18,Dane_kredytowe!N$9:N$18,0))</f>
        <v>0</v>
      </c>
      <c r="T94" s="71">
        <f t="shared" si="74"/>
        <v>-835.66741040915815</v>
      </c>
      <c r="U94" s="72">
        <f>IF(Q94="tak",T94,IF(P94-SUM(AB$5:AB94)+1&gt;0,IF(Dane_kredytowe!F$9&lt;B94,IF(SUM(AB$5:AB94)-Dane_kredytowe!F$16+1&gt;0,PMT(M94/12,P94+1-SUM(AB$5:AB94),O94),T94),0),0))</f>
        <v>-1336.3087495975601</v>
      </c>
      <c r="V94" s="72">
        <f t="shared" si="99"/>
        <v>-500.64133918840196</v>
      </c>
      <c r="W94" s="19" t="str">
        <f t="shared" si="100"/>
        <v xml:space="preserve"> </v>
      </c>
      <c r="X94" s="19">
        <f t="shared" si="113"/>
        <v>0</v>
      </c>
      <c r="Y94" s="73">
        <f t="shared" si="76"/>
        <v>-265.00255942957881</v>
      </c>
      <c r="Z94" s="19">
        <f>IF(P94-SUM(AB$5:AB94)+1&gt;0,IF(Dane_kredytowe!F$9&lt;B94,IF(SUM(AB$5:AB94)-Dane_kredytowe!F$16+1&gt;0,PMT(M94/12,P94+1-SUM(AB$5:AB94),N94),Y94),0),0)</f>
        <v>-423.76337095413032</v>
      </c>
      <c r="AA94" s="19">
        <f t="shared" si="68"/>
        <v>-158.76081152455151</v>
      </c>
      <c r="AB94" s="20">
        <f>IF(AND(Dane_kredytowe!F$9&lt;B94,SUM(AB$5:AB93)&lt;P93),1," ")</f>
        <v>1</v>
      </c>
      <c r="AD94" s="75">
        <f>IF(OR(B94&lt;Dane_kredytowe!F$15,Dane_kredytowe!F$15=""),-F94+S94,0)</f>
        <v>0</v>
      </c>
      <c r="AE94" s="75">
        <f t="shared" si="77"/>
        <v>423.76337095413032</v>
      </c>
      <c r="AG94" s="22">
        <f>Dane_kredytowe!F$17-SUM(AI$5:AI93)+SUM(W$42:W94)-SUM(X$42:X94)</f>
        <v>91699.08</v>
      </c>
      <c r="AH94" s="22">
        <f t="shared" si="78"/>
        <v>259.81</v>
      </c>
      <c r="AI94" s="22">
        <f t="shared" si="79"/>
        <v>264.26</v>
      </c>
      <c r="AJ94" s="22">
        <f t="shared" si="61"/>
        <v>524.06999999999994</v>
      </c>
      <c r="AK94" s="22">
        <f t="shared" si="80"/>
        <v>1605.94</v>
      </c>
      <c r="AL94" s="22">
        <f>Dane_kredytowe!F$8-SUM(AN$5:AN93)+SUM(R$42:R93)-SUM(S$42:S94)</f>
        <v>289166.71000000002</v>
      </c>
      <c r="AM94" s="22">
        <f t="shared" si="81"/>
        <v>819.31</v>
      </c>
      <c r="AN94" s="22">
        <f t="shared" si="82"/>
        <v>833.33</v>
      </c>
      <c r="AO94" s="22">
        <f t="shared" si="62"/>
        <v>1652.6399999999999</v>
      </c>
      <c r="AP94" s="22">
        <f t="shared" si="63"/>
        <v>-46.699999999999818</v>
      </c>
      <c r="AR94" s="87">
        <f t="shared" si="83"/>
        <v>39965</v>
      </c>
      <c r="AS94" s="23">
        <f>AS$5+SUM(AV$5:AV93)-SUM(X$5:X94)+SUM(W$5:W94)</f>
        <v>136711.52265131092</v>
      </c>
      <c r="AT94" s="22">
        <f t="shared" si="84"/>
        <v>-387.34931417871434</v>
      </c>
      <c r="AU94" s="22">
        <f>IF(AB94=1,IF(Q94="tak",AT94,PMT(M94/12,P94+1-SUM(AB$5:AB94),AS94)),0)</f>
        <v>-619.40704069600451</v>
      </c>
      <c r="AV94" s="22">
        <f t="shared" si="64"/>
        <v>-232.05772651729018</v>
      </c>
      <c r="AW94" s="22">
        <f t="shared" si="85"/>
        <v>-1842.7978867746829</v>
      </c>
      <c r="AY94" s="23">
        <f>AY$5+SUM(BA$5:BA93)+SUM(W$5:W93)-SUM(X$5:X93)</f>
        <v>134034.76143784184</v>
      </c>
      <c r="AZ94" s="23">
        <f t="shared" si="86"/>
        <v>-387.34931417871434</v>
      </c>
      <c r="BA94" s="23">
        <f t="shared" si="87"/>
        <v>-386.27</v>
      </c>
      <c r="BB94" s="23">
        <f t="shared" si="65"/>
        <v>-773.61931417871438</v>
      </c>
      <c r="BC94" s="23">
        <f t="shared" si="88"/>
        <v>-2301.5948216130932</v>
      </c>
      <c r="BE94" s="88">
        <f t="shared" si="89"/>
        <v>4.5999999999999999E-2</v>
      </c>
      <c r="BF94" s="89">
        <f>BE94+Dane_kredytowe!F$12</f>
        <v>7.5999999999999998E-2</v>
      </c>
      <c r="BG94" s="23">
        <f>BG$5+SUM(BH$5:BH93)+SUM(R$5:R93)-SUM(S$5:S93)</f>
        <v>297645.98790217919</v>
      </c>
      <c r="BH94" s="22">
        <f t="shared" si="69"/>
        <v>-237.36329872688907</v>
      </c>
      <c r="BI94" s="22">
        <f t="shared" si="67"/>
        <v>-1885.0912567138014</v>
      </c>
      <c r="BJ94" s="22">
        <f>IF(U94&lt;0,PMT(BF94/12,Dane_kredytowe!F$13-SUM(AB$5:AB94)+1,BG94),0)</f>
        <v>-2122.4545554406905</v>
      </c>
      <c r="BL94" s="23">
        <f>BL$5+SUM(BN$5:BN93)+SUM(R$5:R93)-SUM(S$5:S93)</f>
        <v>289166.66666666669</v>
      </c>
      <c r="BM94" s="23">
        <f t="shared" si="90"/>
        <v>-1831.3888888888889</v>
      </c>
      <c r="BN94" s="23">
        <f t="shared" si="91"/>
        <v>-833.33333333333337</v>
      </c>
      <c r="BO94" s="23">
        <f t="shared" si="92"/>
        <v>-2664.7222222222222</v>
      </c>
      <c r="BQ94" s="89">
        <f t="shared" si="93"/>
        <v>6.2700000000000006E-2</v>
      </c>
      <c r="BR94" s="23">
        <f>BR$5+SUM(BS$5:BS93)+SUM(R$5:R93)-SUM(S$5:S93)+SUM(BV$5:BV93)</f>
        <v>308179.97205436783</v>
      </c>
      <c r="BS94" s="22">
        <f t="shared" si="107"/>
        <v>-315.70847749837753</v>
      </c>
      <c r="BT94" s="22">
        <f t="shared" si="108"/>
        <v>-1610.2403539840718</v>
      </c>
      <c r="BU94" s="22">
        <f>IF(U94&lt;0,PMT(BQ94/12,Dane_kredytowe!F$13-SUM(AB$5:AB94)+1,BR94),0)</f>
        <v>-1925.9488314824494</v>
      </c>
      <c r="BV94" s="22">
        <f t="shared" si="101"/>
        <v>627.3882744090472</v>
      </c>
      <c r="BX94" s="23">
        <f>BX$5+SUM(BZ$5:BZ93)+SUM(R$5:R93)-SUM(S$5:S93)+SUM(CB$5,CB93)</f>
        <v>290182.18655912107</v>
      </c>
      <c r="BY94" s="22">
        <f t="shared" si="94"/>
        <v>-1516.2019247714077</v>
      </c>
      <c r="BZ94" s="22">
        <f t="shared" si="95"/>
        <v>-836.25990362859102</v>
      </c>
      <c r="CA94" s="22">
        <f t="shared" si="109"/>
        <v>-2352.4618283999989</v>
      </c>
      <c r="CB94" s="22">
        <f t="shared" si="110"/>
        <v>1053.9012713265968</v>
      </c>
      <c r="CD94" s="22">
        <f>CD$5+SUM(CE$5:CE93)+SUM(R$5:R93)-SUM(S$5:S93)-SUM(CF$5:CF93)</f>
        <v>307552.55716440739</v>
      </c>
      <c r="CE94" s="22">
        <f t="shared" si="102"/>
        <v>1516.2019247714077</v>
      </c>
      <c r="CF94" s="22">
        <f t="shared" si="96"/>
        <v>1298.5605570734022</v>
      </c>
      <c r="CG94" s="22">
        <f t="shared" si="103"/>
        <v>-217.64136769800552</v>
      </c>
      <c r="CI94" s="89">
        <f t="shared" si="97"/>
        <v>0.627</v>
      </c>
      <c r="CJ94" s="22">
        <f t="shared" si="98"/>
        <v>-814.2</v>
      </c>
      <c r="CK94" s="15">
        <f t="shared" si="104"/>
        <v>0</v>
      </c>
      <c r="CM94" s="22">
        <f t="shared" si="105"/>
        <v>-17861.696340391296</v>
      </c>
      <c r="CN94" s="15">
        <f t="shared" si="111"/>
        <v>-68.469835971499961</v>
      </c>
    </row>
    <row r="95" spans="1:92">
      <c r="A95" s="25"/>
      <c r="B95" s="80">
        <v>39995</v>
      </c>
      <c r="C95" s="81">
        <f t="shared" si="72"/>
        <v>2.8325</v>
      </c>
      <c r="D95" s="82">
        <f t="shared" si="106"/>
        <v>2.917475</v>
      </c>
      <c r="E95" s="73">
        <f t="shared" si="54"/>
        <v>-423.76337095413038</v>
      </c>
      <c r="F95" s="19">
        <f t="shared" si="70"/>
        <v>-1236.3190406744015</v>
      </c>
      <c r="G95" s="19">
        <f t="shared" si="56"/>
        <v>-1336.3087495975601</v>
      </c>
      <c r="H95" s="19">
        <f t="shared" si="71"/>
        <v>-99.98970892315856</v>
      </c>
      <c r="I95" s="62"/>
      <c r="J95" s="15" t="str">
        <f t="shared" si="112"/>
        <v>Ze względu na spadek kursu CHF, rata jest korzystniejsza niż bez klauzuli indeksacyjnej</v>
      </c>
      <c r="K95" s="15">
        <f>IF(B95&lt;=Dane_kredytowe!F$9,0,K94+1)</f>
        <v>15</v>
      </c>
      <c r="L95" s="83">
        <f t="shared" si="73"/>
        <v>4.0000000000000001E-3</v>
      </c>
      <c r="M95" s="84">
        <f>L95+Dane_kredytowe!F$12</f>
        <v>3.4000000000000002E-2</v>
      </c>
      <c r="N95" s="79">
        <f>MAX(Dane_kredytowe!F$17+SUM(AA$5:AA94)-SUM(X$5:X95)+SUM(W$5:W95),0)</f>
        <v>93371.554281267978</v>
      </c>
      <c r="O95" s="85">
        <f>MAX(Dane_kredytowe!F$8+SUM(V$5:V94)-SUM(S$5:S95)+SUM(R$5:R94),0)</f>
        <v>294440.79762874974</v>
      </c>
      <c r="P95" s="67">
        <f t="shared" si="59"/>
        <v>360</v>
      </c>
      <c r="Q95" s="127" t="str">
        <f>IF(AND(K95&gt;0,K95&lt;=Dane_kredytowe!F$16),"tak","nie")</f>
        <v>nie</v>
      </c>
      <c r="R95" s="69"/>
      <c r="S95" s="86">
        <f>IF(Dane_kredytowe!F$19=B95,O94+V94,_xlfn.XLOOKUP(B95,Dane_kredytowe!M$9:M$18,Dane_kredytowe!N$9:N$18,0))</f>
        <v>0</v>
      </c>
      <c r="T95" s="71">
        <f t="shared" si="74"/>
        <v>-834.248926614791</v>
      </c>
      <c r="U95" s="72">
        <f>IF(Q95="tak",T95,IF(P95-SUM(AB$5:AB95)+1&gt;0,IF(Dane_kredytowe!F$9&lt;B95,IF(SUM(AB$5:AB95)-Dane_kredytowe!F$16+1&gt;0,PMT(M95/12,P95+1-SUM(AB$5:AB95),O95),T95),0),0))</f>
        <v>-1336.3087495975601</v>
      </c>
      <c r="V95" s="72">
        <f t="shared" si="99"/>
        <v>-502.05982298276911</v>
      </c>
      <c r="W95" s="19" t="str">
        <f t="shared" si="100"/>
        <v xml:space="preserve"> </v>
      </c>
      <c r="X95" s="19">
        <f t="shared" si="113"/>
        <v>0</v>
      </c>
      <c r="Y95" s="73">
        <f t="shared" si="76"/>
        <v>-264.55273713025929</v>
      </c>
      <c r="Z95" s="19">
        <f>IF(P95-SUM(AB$5:AB95)+1&gt;0,IF(Dane_kredytowe!F$9&lt;B95,IF(SUM(AB$5:AB95)-Dane_kredytowe!F$16+1&gt;0,PMT(M95/12,P95+1-SUM(AB$5:AB95),N95),Y95),0),0)</f>
        <v>-423.76337095413038</v>
      </c>
      <c r="AA95" s="19">
        <f t="shared" si="68"/>
        <v>-159.21063382387109</v>
      </c>
      <c r="AB95" s="20">
        <f>IF(AND(Dane_kredytowe!F$9&lt;B95,SUM(AB$5:AB94)&lt;P94),1," ")</f>
        <v>1</v>
      </c>
      <c r="AD95" s="75">
        <f>IF(OR(B95&lt;Dane_kredytowe!F$15,Dane_kredytowe!F$15=""),-F95+S95,0)</f>
        <v>0</v>
      </c>
      <c r="AE95" s="75">
        <f t="shared" si="77"/>
        <v>423.76337095413038</v>
      </c>
      <c r="AG95" s="22">
        <f>Dane_kredytowe!F$17-SUM(AI$5:AI94)+SUM(W$42:W95)-SUM(X$42:X95)</f>
        <v>91434.82</v>
      </c>
      <c r="AH95" s="22">
        <f t="shared" si="78"/>
        <v>259.07</v>
      </c>
      <c r="AI95" s="22">
        <f t="shared" si="79"/>
        <v>264.26</v>
      </c>
      <c r="AJ95" s="22">
        <f t="shared" si="61"/>
        <v>523.32999999999993</v>
      </c>
      <c r="AK95" s="22">
        <f t="shared" si="80"/>
        <v>1526.8</v>
      </c>
      <c r="AL95" s="22">
        <f>Dane_kredytowe!F$8-SUM(AN$5:AN94)+SUM(R$42:R94)-SUM(S$42:S95)</f>
        <v>288333.38</v>
      </c>
      <c r="AM95" s="22">
        <f t="shared" si="81"/>
        <v>816.94</v>
      </c>
      <c r="AN95" s="22">
        <f t="shared" si="82"/>
        <v>833.33</v>
      </c>
      <c r="AO95" s="22">
        <f t="shared" si="62"/>
        <v>1650.27</v>
      </c>
      <c r="AP95" s="22">
        <f t="shared" si="63"/>
        <v>-123.47000000000003</v>
      </c>
      <c r="AR95" s="87">
        <f t="shared" si="83"/>
        <v>39995</v>
      </c>
      <c r="AS95" s="23">
        <f>AS$5+SUM(AV$5:AV94)-SUM(X$5:X95)+SUM(W$5:W95)</f>
        <v>136479.46492479363</v>
      </c>
      <c r="AT95" s="22">
        <f t="shared" si="84"/>
        <v>-386.6918172869153</v>
      </c>
      <c r="AU95" s="22">
        <f>IF(AB95=1,IF(Q95="tak",AT95,PMT(M95/12,P95+1-SUM(AB$5:AB95),AS95)),0)</f>
        <v>-619.40704069600451</v>
      </c>
      <c r="AV95" s="22">
        <f t="shared" si="64"/>
        <v>-232.71522340908922</v>
      </c>
      <c r="AW95" s="22">
        <f t="shared" si="85"/>
        <v>-1754.4704427714328</v>
      </c>
      <c r="AY95" s="23">
        <f>AY$5+SUM(BA$5:BA94)+SUM(W$5:W94)-SUM(X$5:X94)</f>
        <v>133648.49143784185</v>
      </c>
      <c r="AZ95" s="23">
        <f t="shared" si="86"/>
        <v>-386.6918172869153</v>
      </c>
      <c r="BA95" s="23">
        <f t="shared" si="87"/>
        <v>-386.27</v>
      </c>
      <c r="BB95" s="23">
        <f t="shared" si="65"/>
        <v>-772.96181728691522</v>
      </c>
      <c r="BC95" s="23">
        <f t="shared" si="88"/>
        <v>-2189.4143474651873</v>
      </c>
      <c r="BE95" s="88">
        <f t="shared" si="89"/>
        <v>4.2599999999999999E-2</v>
      </c>
      <c r="BF95" s="89">
        <f>BE95+Dane_kredytowe!F$12</f>
        <v>7.2599999999999998E-2</v>
      </c>
      <c r="BG95" s="23">
        <f>BG$5+SUM(BH$5:BH94)+SUM(R$5:R94)-SUM(S$5:S94)</f>
        <v>297408.62460345228</v>
      </c>
      <c r="BH95" s="22">
        <f t="shared" si="69"/>
        <v>-254.83832874565724</v>
      </c>
      <c r="BI95" s="22">
        <f t="shared" si="67"/>
        <v>-1799.3221788508863</v>
      </c>
      <c r="BJ95" s="22">
        <f>IF(U95&lt;0,PMT(BF95/12,Dane_kredytowe!F$13-SUM(AB$5:AB95)+1,BG95),0)</f>
        <v>-2054.1605075965435</v>
      </c>
      <c r="BL95" s="23">
        <f>BL$5+SUM(BN$5:BN94)+SUM(R$5:R94)-SUM(S$5:S94)</f>
        <v>288333.33333333331</v>
      </c>
      <c r="BM95" s="23">
        <f t="shared" si="90"/>
        <v>-1744.4166666666663</v>
      </c>
      <c r="BN95" s="23">
        <f t="shared" si="91"/>
        <v>-833.33333333333326</v>
      </c>
      <c r="BO95" s="23">
        <f t="shared" si="92"/>
        <v>-2577.7499999999995</v>
      </c>
      <c r="BQ95" s="89">
        <f t="shared" si="93"/>
        <v>5.9299999999999999E-2</v>
      </c>
      <c r="BR95" s="23">
        <f>BR$5+SUM(BS$5:BS94)+SUM(R$5:R94)-SUM(S$5:S94)+SUM(BV$5:BV94)</f>
        <v>308491.6518512785</v>
      </c>
      <c r="BS95" s="22">
        <f t="shared" si="107"/>
        <v>-338.41459544052577</v>
      </c>
      <c r="BT95" s="22">
        <f t="shared" si="108"/>
        <v>-1524.4629128984013</v>
      </c>
      <c r="BU95" s="22">
        <f>IF(U95&lt;0,PMT(BQ95/12,Dane_kredytowe!F$13-SUM(AB$5:AB95)+1,BR95),0)</f>
        <v>-1862.8775083389271</v>
      </c>
      <c r="BV95" s="22">
        <f t="shared" si="101"/>
        <v>626.55846766452555</v>
      </c>
      <c r="BX95" s="23">
        <f>BX$5+SUM(BZ$5:BZ94)+SUM(R$5:R94)-SUM(S$5:S94)+SUM(CB$5,CB94)</f>
        <v>289336.09393448947</v>
      </c>
      <c r="BY95" s="22">
        <f t="shared" si="94"/>
        <v>-1429.8025308596023</v>
      </c>
      <c r="BZ95" s="22">
        <f t="shared" si="95"/>
        <v>-836.23148535979612</v>
      </c>
      <c r="CA95" s="22">
        <f t="shared" si="109"/>
        <v>-2266.0340162193984</v>
      </c>
      <c r="CB95" s="22">
        <f t="shared" si="110"/>
        <v>1029.7149755449968</v>
      </c>
      <c r="CD95" s="22">
        <f>CD$5+SUM(CE$5:CE94)+SUM(R$5:R94)-SUM(S$5:S94)-SUM(CF$5:CF94)</f>
        <v>307770.19853210542</v>
      </c>
      <c r="CE95" s="22">
        <f t="shared" si="102"/>
        <v>1429.8025308596023</v>
      </c>
      <c r="CF95" s="22">
        <f t="shared" si="96"/>
        <v>1236.3190406744015</v>
      </c>
      <c r="CG95" s="22">
        <f t="shared" si="103"/>
        <v>-193.48349018520071</v>
      </c>
      <c r="CI95" s="89">
        <f t="shared" si="97"/>
        <v>0.62539999999999996</v>
      </c>
      <c r="CJ95" s="22">
        <f t="shared" si="98"/>
        <v>-773.19</v>
      </c>
      <c r="CK95" s="15">
        <f t="shared" si="104"/>
        <v>0</v>
      </c>
      <c r="CM95" s="22">
        <f t="shared" si="105"/>
        <v>-19098.015381065699</v>
      </c>
      <c r="CN95" s="15">
        <f t="shared" si="111"/>
        <v>-67.797954602783236</v>
      </c>
    </row>
    <row r="96" spans="1:92">
      <c r="A96" s="25"/>
      <c r="B96" s="80">
        <v>40026</v>
      </c>
      <c r="C96" s="81">
        <f t="shared" si="72"/>
        <v>2.71</v>
      </c>
      <c r="D96" s="82">
        <f t="shared" si="106"/>
        <v>2.7913000000000001</v>
      </c>
      <c r="E96" s="73">
        <f t="shared" si="54"/>
        <v>-423.76337095413049</v>
      </c>
      <c r="F96" s="19">
        <f t="shared" si="70"/>
        <v>-1182.8506973442645</v>
      </c>
      <c r="G96" s="19">
        <f t="shared" si="56"/>
        <v>-1336.3087495975606</v>
      </c>
      <c r="H96" s="19">
        <f t="shared" si="71"/>
        <v>-153.45805225329605</v>
      </c>
      <c r="I96" s="62"/>
      <c r="J96" s="15" t="str">
        <f t="shared" si="112"/>
        <v>Ze względu na spadek kursu CHF, rata jest korzystniejsza niż bez klauzuli indeksacyjnej</v>
      </c>
      <c r="K96" s="15">
        <f>IF(B96&lt;=Dane_kredytowe!F$9,0,K95+1)</f>
        <v>16</v>
      </c>
      <c r="L96" s="83">
        <f t="shared" si="73"/>
        <v>4.0000000000000001E-3</v>
      </c>
      <c r="M96" s="84">
        <f>L96+Dane_kredytowe!F$12</f>
        <v>3.4000000000000002E-2</v>
      </c>
      <c r="N96" s="79">
        <f>MAX(Dane_kredytowe!F$17+SUM(AA$5:AA95)-SUM(X$5:X96)+SUM(W$5:W96),0)</f>
        <v>93212.343647444097</v>
      </c>
      <c r="O96" s="85">
        <f>MAX(Dane_kredytowe!F$8+SUM(V$5:V95)-SUM(S$5:S96)+SUM(R$5:R95),0)</f>
        <v>293938.73780576698</v>
      </c>
      <c r="P96" s="67">
        <f t="shared" si="59"/>
        <v>360</v>
      </c>
      <c r="Q96" s="127" t="str">
        <f>IF(AND(K96&gt;0,K96&lt;=Dane_kredytowe!F$16),"tak","nie")</f>
        <v>nie</v>
      </c>
      <c r="R96" s="69"/>
      <c r="S96" s="86">
        <f>IF(Dane_kredytowe!F$19=B96,O95+V95,_xlfn.XLOOKUP(B96,Dane_kredytowe!M$9:M$18,Dane_kredytowe!N$9:N$18,0))</f>
        <v>0</v>
      </c>
      <c r="T96" s="71">
        <f t="shared" si="74"/>
        <v>-832.82642378300659</v>
      </c>
      <c r="U96" s="72">
        <f>IF(Q96="tak",T96,IF(P96-SUM(AB$5:AB96)+1&gt;0,IF(Dane_kredytowe!F$9&lt;B96,IF(SUM(AB$5:AB96)-Dane_kredytowe!F$16+1&gt;0,PMT(M96/12,P96+1-SUM(AB$5:AB96),O96),T96),0),0))</f>
        <v>-1336.3087495975606</v>
      </c>
      <c r="V96" s="72">
        <f t="shared" si="99"/>
        <v>-503.48232581455397</v>
      </c>
      <c r="W96" s="19" t="str">
        <f t="shared" si="100"/>
        <v xml:space="preserve"> </v>
      </c>
      <c r="X96" s="19">
        <f t="shared" si="113"/>
        <v>0</v>
      </c>
      <c r="Y96" s="73">
        <f t="shared" si="76"/>
        <v>-264.10164033442499</v>
      </c>
      <c r="Z96" s="19">
        <f>IF(P96-SUM(AB$5:AB96)+1&gt;0,IF(Dane_kredytowe!F$9&lt;B96,IF(SUM(AB$5:AB96)-Dane_kredytowe!F$16+1&gt;0,PMT(M96/12,P96+1-SUM(AB$5:AB96),N96),Y96),0),0)</f>
        <v>-423.76337095413049</v>
      </c>
      <c r="AA96" s="19">
        <f t="shared" si="68"/>
        <v>-159.66173061970551</v>
      </c>
      <c r="AB96" s="20">
        <f>IF(AND(Dane_kredytowe!F$9&lt;B96,SUM(AB$5:AB95)&lt;P95),1," ")</f>
        <v>1</v>
      </c>
      <c r="AD96" s="75">
        <f>IF(OR(B96&lt;Dane_kredytowe!F$15,Dane_kredytowe!F$15=""),-F96+S96,0)</f>
        <v>0</v>
      </c>
      <c r="AE96" s="75">
        <f t="shared" si="77"/>
        <v>423.76337095413049</v>
      </c>
      <c r="AG96" s="22">
        <f>Dane_kredytowe!F$17-SUM(AI$5:AI95)+SUM(W$42:W96)-SUM(X$42:X96)</f>
        <v>91170.559999999998</v>
      </c>
      <c r="AH96" s="22">
        <f t="shared" si="78"/>
        <v>258.32</v>
      </c>
      <c r="AI96" s="22">
        <f t="shared" si="79"/>
        <v>264.26</v>
      </c>
      <c r="AJ96" s="22">
        <f t="shared" si="61"/>
        <v>522.57999999999993</v>
      </c>
      <c r="AK96" s="22">
        <f t="shared" si="80"/>
        <v>1458.68</v>
      </c>
      <c r="AL96" s="22">
        <f>Dane_kredytowe!F$8-SUM(AN$5:AN95)+SUM(R$42:R95)-SUM(S$42:S96)</f>
        <v>287500.05</v>
      </c>
      <c r="AM96" s="22">
        <f t="shared" si="81"/>
        <v>814.58</v>
      </c>
      <c r="AN96" s="22">
        <f t="shared" si="82"/>
        <v>833.33</v>
      </c>
      <c r="AO96" s="22">
        <f t="shared" si="62"/>
        <v>1647.91</v>
      </c>
      <c r="AP96" s="22">
        <f t="shared" si="63"/>
        <v>-189.23000000000002</v>
      </c>
      <c r="AR96" s="87">
        <f t="shared" si="83"/>
        <v>40026</v>
      </c>
      <c r="AS96" s="23">
        <f>AS$5+SUM(AV$5:AV95)-SUM(X$5:X96)+SUM(W$5:W96)</f>
        <v>136246.74970138454</v>
      </c>
      <c r="AT96" s="22">
        <f t="shared" si="84"/>
        <v>-386.03245748725618</v>
      </c>
      <c r="AU96" s="22">
        <f>IF(AB96=1,IF(Q96="tak",AT96,PMT(M96/12,P96+1-SUM(AB$5:AB96),AS96)),0)</f>
        <v>-619.40704069600474</v>
      </c>
      <c r="AV96" s="22">
        <f t="shared" si="64"/>
        <v>-233.37458320874856</v>
      </c>
      <c r="AW96" s="22">
        <f t="shared" si="85"/>
        <v>-1678.5930802861728</v>
      </c>
      <c r="AY96" s="23">
        <f>AY$5+SUM(BA$5:BA95)+SUM(W$5:W95)-SUM(X$5:X95)</f>
        <v>133262.22143784186</v>
      </c>
      <c r="AZ96" s="23">
        <f t="shared" si="86"/>
        <v>-386.03245748725618</v>
      </c>
      <c r="BA96" s="23">
        <f t="shared" si="87"/>
        <v>-386.27</v>
      </c>
      <c r="BB96" s="23">
        <f t="shared" si="65"/>
        <v>-772.30245748725611</v>
      </c>
      <c r="BC96" s="23">
        <f t="shared" si="88"/>
        <v>-2092.9396597904638</v>
      </c>
      <c r="BE96" s="88">
        <f t="shared" si="89"/>
        <v>4.1599999999999998E-2</v>
      </c>
      <c r="BF96" s="89">
        <f>BE96+Dane_kredytowe!F$12</f>
        <v>7.1599999999999997E-2</v>
      </c>
      <c r="BG96" s="23">
        <f>BG$5+SUM(BH$5:BH95)+SUM(R$5:R95)-SUM(S$5:S95)</f>
        <v>297153.7862747066</v>
      </c>
      <c r="BH96" s="22">
        <f t="shared" si="69"/>
        <v>-261.25905128143859</v>
      </c>
      <c r="BI96" s="22">
        <f t="shared" si="67"/>
        <v>-1773.0175914390827</v>
      </c>
      <c r="BJ96" s="22">
        <f>IF(U96&lt;0,PMT(BF96/12,Dane_kredytowe!F$13-SUM(AB$5:AB96)+1,BG96),0)</f>
        <v>-2034.2766427205213</v>
      </c>
      <c r="BL96" s="23">
        <f>BL$5+SUM(BN$5:BN95)+SUM(R$5:R95)-SUM(S$5:S95)</f>
        <v>287500</v>
      </c>
      <c r="BM96" s="23">
        <f t="shared" si="90"/>
        <v>-1715.4166666666667</v>
      </c>
      <c r="BN96" s="23">
        <f t="shared" si="91"/>
        <v>-833.33333333333337</v>
      </c>
      <c r="BO96" s="23">
        <f t="shared" si="92"/>
        <v>-2548.75</v>
      </c>
      <c r="BQ96" s="89">
        <f t="shared" si="93"/>
        <v>5.8299999999999998E-2</v>
      </c>
      <c r="BR96" s="23">
        <f>BR$5+SUM(BS$5:BS95)+SUM(R$5:R95)-SUM(S$5:S95)+SUM(BV$5:BV95)</f>
        <v>308779.79572350247</v>
      </c>
      <c r="BS96" s="22">
        <f t="shared" si="107"/>
        <v>-347.00455396784514</v>
      </c>
      <c r="BT96" s="22">
        <f t="shared" si="108"/>
        <v>-1500.1551742233494</v>
      </c>
      <c r="BU96" s="22">
        <f>IF(U96&lt;0,PMT(BQ96/12,Dane_kredytowe!F$13-SUM(AB$5:AB96)+1,BR96),0)</f>
        <v>-1847.1597281911945</v>
      </c>
      <c r="BV96" s="22">
        <f t="shared" si="101"/>
        <v>664.30903084693</v>
      </c>
      <c r="BX96" s="23">
        <f>BX$5+SUM(BZ$5:BZ95)+SUM(R$5:R95)-SUM(S$5:S95)+SUM(CB$5,CB95)</f>
        <v>288475.67615334812</v>
      </c>
      <c r="BY96" s="22">
        <f t="shared" si="94"/>
        <v>-1401.5109933116828</v>
      </c>
      <c r="BZ96" s="22">
        <f t="shared" si="95"/>
        <v>-836.16138015463218</v>
      </c>
      <c r="CA96" s="22">
        <f t="shared" si="109"/>
        <v>-2237.6723734663151</v>
      </c>
      <c r="CB96" s="22">
        <f t="shared" si="110"/>
        <v>1054.8216761220506</v>
      </c>
      <c r="CD96" s="22">
        <f>CD$5+SUM(CE$5:CE95)+SUM(R$5:R95)-SUM(S$5:S95)-SUM(CF$5:CF95)</f>
        <v>307963.6820222906</v>
      </c>
      <c r="CE96" s="22">
        <f t="shared" si="102"/>
        <v>1401.5109933116828</v>
      </c>
      <c r="CF96" s="22">
        <f t="shared" si="96"/>
        <v>1182.8506973442645</v>
      </c>
      <c r="CG96" s="22">
        <f t="shared" si="103"/>
        <v>-218.66029596741828</v>
      </c>
      <c r="CI96" s="89">
        <f t="shared" si="97"/>
        <v>0.63190000000000002</v>
      </c>
      <c r="CJ96" s="22">
        <f t="shared" si="98"/>
        <v>-747.44</v>
      </c>
      <c r="CK96" s="15">
        <f t="shared" si="104"/>
        <v>0</v>
      </c>
      <c r="CM96" s="22">
        <f t="shared" si="105"/>
        <v>-20280.866078409963</v>
      </c>
      <c r="CN96" s="15">
        <f t="shared" si="111"/>
        <v>-70.307002405154535</v>
      </c>
    </row>
    <row r="97" spans="1:92">
      <c r="A97" s="25"/>
      <c r="B97" s="80">
        <v>40057</v>
      </c>
      <c r="C97" s="81">
        <f t="shared" si="72"/>
        <v>2.7488000000000001</v>
      </c>
      <c r="D97" s="82">
        <f t="shared" si="106"/>
        <v>2.831264</v>
      </c>
      <c r="E97" s="73">
        <f t="shared" si="54"/>
        <v>-423.76337095413038</v>
      </c>
      <c r="F97" s="19">
        <f t="shared" si="70"/>
        <v>-1199.785976701075</v>
      </c>
      <c r="G97" s="19">
        <f t="shared" si="56"/>
        <v>-1336.3087495975601</v>
      </c>
      <c r="H97" s="19">
        <f t="shared" si="71"/>
        <v>-136.52277289648509</v>
      </c>
      <c r="I97" s="62"/>
      <c r="J97" s="15" t="str">
        <f t="shared" si="112"/>
        <v>Ze względu na spadek kursu CHF, rata jest korzystniejsza niż bez klauzuli indeksacyjnej</v>
      </c>
      <c r="K97" s="15">
        <f>IF(B97&lt;=Dane_kredytowe!F$9,0,K96+1)</f>
        <v>17</v>
      </c>
      <c r="L97" s="83">
        <f t="shared" si="73"/>
        <v>4.0000000000000001E-3</v>
      </c>
      <c r="M97" s="84">
        <f>L97+Dane_kredytowe!F$12</f>
        <v>3.4000000000000002E-2</v>
      </c>
      <c r="N97" s="79">
        <f>MAX(Dane_kredytowe!F$17+SUM(AA$5:AA96)-SUM(X$5:X97)+SUM(W$5:W97),0)</f>
        <v>93052.681916824396</v>
      </c>
      <c r="O97" s="85">
        <f>MAX(Dane_kredytowe!F$8+SUM(V$5:V96)-SUM(S$5:S97)+SUM(R$5:R96),0)</f>
        <v>293435.25547995244</v>
      </c>
      <c r="P97" s="67">
        <f t="shared" si="59"/>
        <v>360</v>
      </c>
      <c r="Q97" s="127" t="str">
        <f>IF(AND(K97&gt;0,K97&lt;=Dane_kredytowe!F$16),"tak","nie")</f>
        <v>nie</v>
      </c>
      <c r="R97" s="69"/>
      <c r="S97" s="86">
        <f>IF(Dane_kredytowe!F$19=B97,O96+V96,_xlfn.XLOOKUP(B97,Dane_kredytowe!M$9:M$18,Dane_kredytowe!N$9:N$18,0))</f>
        <v>0</v>
      </c>
      <c r="T97" s="71">
        <f t="shared" si="74"/>
        <v>-831.39989052653198</v>
      </c>
      <c r="U97" s="72">
        <f>IF(Q97="tak",T97,IF(P97-SUM(AB$5:AB97)+1&gt;0,IF(Dane_kredytowe!F$9&lt;B97,IF(SUM(AB$5:AB97)-Dane_kredytowe!F$16+1&gt;0,PMT(M97/12,P97+1-SUM(AB$5:AB97),O97),T97),0),0))</f>
        <v>-1336.3087495975601</v>
      </c>
      <c r="V97" s="72">
        <f t="shared" si="99"/>
        <v>-504.90885907102813</v>
      </c>
      <c r="W97" s="19" t="str">
        <f t="shared" si="100"/>
        <v xml:space="preserve"> </v>
      </c>
      <c r="X97" s="19">
        <f t="shared" si="113"/>
        <v>0</v>
      </c>
      <c r="Y97" s="73">
        <f t="shared" si="76"/>
        <v>-263.64926543100245</v>
      </c>
      <c r="Z97" s="19">
        <f>IF(P97-SUM(AB$5:AB97)+1&gt;0,IF(Dane_kredytowe!F$9&lt;B97,IF(SUM(AB$5:AB97)-Dane_kredytowe!F$16+1&gt;0,PMT(M97/12,P97+1-SUM(AB$5:AB97),N97),Y97),0),0)</f>
        <v>-423.76337095413038</v>
      </c>
      <c r="AA97" s="19">
        <f t="shared" si="68"/>
        <v>-160.11410552312793</v>
      </c>
      <c r="AB97" s="20">
        <f>IF(AND(Dane_kredytowe!F$9&lt;B97,SUM(AB$5:AB96)&lt;P96),1," ")</f>
        <v>1</v>
      </c>
      <c r="AD97" s="75">
        <f>IF(OR(B97&lt;Dane_kredytowe!F$15,Dane_kredytowe!F$15=""),-F97+S97,0)</f>
        <v>0</v>
      </c>
      <c r="AE97" s="75">
        <f t="shared" si="77"/>
        <v>423.76337095413038</v>
      </c>
      <c r="AG97" s="22">
        <f>Dane_kredytowe!F$17-SUM(AI$5:AI96)+SUM(W$42:W97)-SUM(X$42:X97)</f>
        <v>90906.3</v>
      </c>
      <c r="AH97" s="22">
        <f t="shared" si="78"/>
        <v>257.57</v>
      </c>
      <c r="AI97" s="22">
        <f t="shared" si="79"/>
        <v>264.26</v>
      </c>
      <c r="AJ97" s="22">
        <f t="shared" si="61"/>
        <v>521.82999999999993</v>
      </c>
      <c r="AK97" s="22">
        <f t="shared" si="80"/>
        <v>1477.44</v>
      </c>
      <c r="AL97" s="22">
        <f>Dane_kredytowe!F$8-SUM(AN$5:AN96)+SUM(R$42:R96)-SUM(S$42:S97)</f>
        <v>286666.71999999997</v>
      </c>
      <c r="AM97" s="22">
        <f t="shared" si="81"/>
        <v>812.22</v>
      </c>
      <c r="AN97" s="22">
        <f t="shared" si="82"/>
        <v>833.33</v>
      </c>
      <c r="AO97" s="22">
        <f t="shared" si="62"/>
        <v>1645.5500000000002</v>
      </c>
      <c r="AP97" s="22">
        <f t="shared" si="63"/>
        <v>-168.11000000000013</v>
      </c>
      <c r="AR97" s="87">
        <f t="shared" si="83"/>
        <v>40057</v>
      </c>
      <c r="AS97" s="23">
        <f>AS$5+SUM(AV$5:AV96)-SUM(X$5:X97)+SUM(W$5:W97)</f>
        <v>136013.37511817578</v>
      </c>
      <c r="AT97" s="22">
        <f t="shared" si="84"/>
        <v>-385.37122950149814</v>
      </c>
      <c r="AU97" s="22">
        <f>IF(AB97=1,IF(Q97="tak",AT97,PMT(M97/12,P97+1-SUM(AB$5:AB97),AS97)),0)</f>
        <v>-619.40704069600463</v>
      </c>
      <c r="AV97" s="22">
        <f t="shared" si="64"/>
        <v>-234.03581119450649</v>
      </c>
      <c r="AW97" s="22">
        <f t="shared" si="85"/>
        <v>-1702.6260734651776</v>
      </c>
      <c r="AY97" s="23">
        <f>AY$5+SUM(BA$5:BA96)+SUM(W$5:W96)-SUM(X$5:X96)</f>
        <v>132875.95143784184</v>
      </c>
      <c r="AZ97" s="23">
        <f t="shared" si="86"/>
        <v>-385.37122950149814</v>
      </c>
      <c r="BA97" s="23">
        <f t="shared" si="87"/>
        <v>-386.27</v>
      </c>
      <c r="BB97" s="23">
        <f t="shared" si="65"/>
        <v>-771.64122950149817</v>
      </c>
      <c r="BC97" s="23">
        <f t="shared" si="88"/>
        <v>-2121.0874116537184</v>
      </c>
      <c r="BE97" s="88">
        <f t="shared" si="89"/>
        <v>4.1799999999999997E-2</v>
      </c>
      <c r="BF97" s="89">
        <f>BE97+Dane_kredytowe!F$12</f>
        <v>7.1800000000000003E-2</v>
      </c>
      <c r="BG97" s="23">
        <f>BG$5+SUM(BH$5:BH96)+SUM(R$5:R96)-SUM(S$5:S96)</f>
        <v>296892.52722342516</v>
      </c>
      <c r="BH97" s="22">
        <f t="shared" si="69"/>
        <v>-261.83347459764445</v>
      </c>
      <c r="BI97" s="22">
        <f t="shared" si="67"/>
        <v>-1776.406954553494</v>
      </c>
      <c r="BJ97" s="22">
        <f>IF(U97&lt;0,PMT(BF97/12,Dane_kredytowe!F$13-SUM(AB$5:AB97)+1,BG97),0)</f>
        <v>-2038.2404291511384</v>
      </c>
      <c r="BL97" s="23">
        <f>BL$5+SUM(BN$5:BN96)+SUM(R$5:R96)-SUM(S$5:S96)</f>
        <v>286666.66666666669</v>
      </c>
      <c r="BM97" s="23">
        <f t="shared" si="90"/>
        <v>-1715.2222222222224</v>
      </c>
      <c r="BN97" s="23">
        <f t="shared" si="91"/>
        <v>-833.33333333333337</v>
      </c>
      <c r="BO97" s="23">
        <f t="shared" si="92"/>
        <v>-2548.5555555555557</v>
      </c>
      <c r="BQ97" s="89">
        <f t="shared" si="93"/>
        <v>5.8499999999999996E-2</v>
      </c>
      <c r="BR97" s="23">
        <f>BR$5+SUM(BS$5:BS96)+SUM(R$5:R96)-SUM(S$5:S96)+SUM(BV$5:BV96)</f>
        <v>309097.1002003816</v>
      </c>
      <c r="BS97" s="22">
        <f t="shared" si="107"/>
        <v>-348.18434151011047</v>
      </c>
      <c r="BT97" s="22">
        <f t="shared" si="108"/>
        <v>-1506.8483634768602</v>
      </c>
      <c r="BU97" s="22">
        <f>IF(U97&lt;0,PMT(BQ97/12,Dane_kredytowe!F$13-SUM(AB$5:AB97)+1,BR97),0)</f>
        <v>-1855.0327049869707</v>
      </c>
      <c r="BV97" s="22">
        <f t="shared" si="101"/>
        <v>655.24672828589564</v>
      </c>
      <c r="BX97" s="23">
        <f>BX$5+SUM(BZ$5:BZ96)+SUM(R$5:R96)-SUM(S$5:S96)+SUM(CB$5,CB96)</f>
        <v>287664.62147377047</v>
      </c>
      <c r="BY97" s="22">
        <f t="shared" si="94"/>
        <v>-1402.3650296846308</v>
      </c>
      <c r="BZ97" s="22">
        <f t="shared" si="95"/>
        <v>-836.23436474933271</v>
      </c>
      <c r="CA97" s="22">
        <f t="shared" si="109"/>
        <v>-2238.5993944339634</v>
      </c>
      <c r="CB97" s="22">
        <f t="shared" si="110"/>
        <v>1038.8134177328884</v>
      </c>
      <c r="CD97" s="22">
        <f>CD$5+SUM(CE$5:CE96)+SUM(R$5:R96)-SUM(S$5:S96)-SUM(CF$5:CF96)</f>
        <v>308182.34231825802</v>
      </c>
      <c r="CE97" s="22">
        <f t="shared" si="102"/>
        <v>1402.3650296846308</v>
      </c>
      <c r="CF97" s="22">
        <f t="shared" si="96"/>
        <v>1199.785976701075</v>
      </c>
      <c r="CG97" s="22">
        <f t="shared" si="103"/>
        <v>-202.57905298355581</v>
      </c>
      <c r="CI97" s="89">
        <f t="shared" si="97"/>
        <v>0.63190000000000002</v>
      </c>
      <c r="CJ97" s="22">
        <f t="shared" si="98"/>
        <v>-758.14</v>
      </c>
      <c r="CK97" s="15">
        <f t="shared" si="104"/>
        <v>0</v>
      </c>
      <c r="CM97" s="22">
        <f t="shared" si="105"/>
        <v>-21480.652055111037</v>
      </c>
      <c r="CN97" s="15">
        <f t="shared" si="111"/>
        <v>-74.824271325303442</v>
      </c>
    </row>
    <row r="98" spans="1:92">
      <c r="A98" s="25"/>
      <c r="B98" s="80">
        <v>40087</v>
      </c>
      <c r="C98" s="81">
        <f t="shared" si="72"/>
        <v>2.7850999999999999</v>
      </c>
      <c r="D98" s="82">
        <f t="shared" si="106"/>
        <v>2.8686530000000001</v>
      </c>
      <c r="E98" s="73">
        <f t="shared" si="54"/>
        <v>-418.17915898117644</v>
      </c>
      <c r="F98" s="19">
        <f t="shared" si="70"/>
        <v>-1199.6108989488289</v>
      </c>
      <c r="G98" s="19">
        <f t="shared" si="56"/>
        <v>-1318.6993198295645</v>
      </c>
      <c r="H98" s="19">
        <f t="shared" si="71"/>
        <v>-119.08842088073561</v>
      </c>
      <c r="I98" s="62"/>
      <c r="J98" s="15" t="str">
        <f t="shared" si="112"/>
        <v>Ze względu na spadek kursu CHF, rata jest korzystniejsza niż bez klauzuli indeksacyjnej</v>
      </c>
      <c r="K98" s="15">
        <f>IF(B98&lt;=Dane_kredytowe!F$9,0,K97+1)</f>
        <v>18</v>
      </c>
      <c r="L98" s="83">
        <f t="shared" si="73"/>
        <v>2.8999999999999998E-3</v>
      </c>
      <c r="M98" s="84">
        <f>L98+Dane_kredytowe!F$12</f>
        <v>3.2899999999999999E-2</v>
      </c>
      <c r="N98" s="79">
        <f>MAX(Dane_kredytowe!F$17+SUM(AA$5:AA97)-SUM(X$5:X98)+SUM(W$5:W98),0)</f>
        <v>92892.567811301269</v>
      </c>
      <c r="O98" s="85">
        <f>MAX(Dane_kredytowe!F$8+SUM(V$5:V97)-SUM(S$5:S98)+SUM(R$5:R97),0)</f>
        <v>292930.34662088141</v>
      </c>
      <c r="P98" s="67">
        <f t="shared" si="59"/>
        <v>360</v>
      </c>
      <c r="Q98" s="127" t="str">
        <f>IF(AND(K98&gt;0,K98&lt;=Dane_kredytowe!F$16),"tak","nie")</f>
        <v>nie</v>
      </c>
      <c r="R98" s="69"/>
      <c r="S98" s="86">
        <f>IF(Dane_kredytowe!F$19=B98,O97+V97,_xlfn.XLOOKUP(B98,Dane_kredytowe!M$9:M$18,Dane_kredytowe!N$9:N$18,0))</f>
        <v>0</v>
      </c>
      <c r="T98" s="71">
        <f t="shared" si="74"/>
        <v>-803.11736698558309</v>
      </c>
      <c r="U98" s="72">
        <f>IF(Q98="tak",T98,IF(P98-SUM(AB$5:AB98)+1&gt;0,IF(Dane_kredytowe!F$9&lt;B98,IF(SUM(AB$5:AB98)-Dane_kredytowe!F$16+1&gt;0,PMT(M98/12,P98+1-SUM(AB$5:AB98),O98),T98),0),0))</f>
        <v>-1318.6993198295645</v>
      </c>
      <c r="V98" s="72">
        <f t="shared" si="99"/>
        <v>-515.58195284398141</v>
      </c>
      <c r="W98" s="19" t="str">
        <f t="shared" si="100"/>
        <v xml:space="preserve"> </v>
      </c>
      <c r="X98" s="19">
        <f t="shared" si="113"/>
        <v>0</v>
      </c>
      <c r="Y98" s="73">
        <f t="shared" si="76"/>
        <v>-254.68045674931764</v>
      </c>
      <c r="Z98" s="19">
        <f>IF(P98-SUM(AB$5:AB98)+1&gt;0,IF(Dane_kredytowe!F$9&lt;B98,IF(SUM(AB$5:AB98)-Dane_kredytowe!F$16+1&gt;0,PMT(M98/12,P98+1-SUM(AB$5:AB98),N98),Y98),0),0)</f>
        <v>-418.17915898117644</v>
      </c>
      <c r="AA98" s="19">
        <f t="shared" si="68"/>
        <v>-163.4987022318588</v>
      </c>
      <c r="AB98" s="20">
        <f>IF(AND(Dane_kredytowe!F$9&lt;B98,SUM(AB$5:AB97)&lt;P97),1," ")</f>
        <v>1</v>
      </c>
      <c r="AD98" s="75">
        <f>IF(OR(B98&lt;Dane_kredytowe!F$15,Dane_kredytowe!F$15=""),-F98+S98,0)</f>
        <v>0</v>
      </c>
      <c r="AE98" s="75">
        <f t="shared" si="77"/>
        <v>418.17915898117644</v>
      </c>
      <c r="AG98" s="22">
        <f>Dane_kredytowe!F$17-SUM(AI$5:AI97)+SUM(W$42:W98)-SUM(X$42:X98)</f>
        <v>90642.040000000008</v>
      </c>
      <c r="AH98" s="22">
        <f t="shared" si="78"/>
        <v>248.51</v>
      </c>
      <c r="AI98" s="22">
        <f t="shared" si="79"/>
        <v>264.26</v>
      </c>
      <c r="AJ98" s="22">
        <f t="shared" si="61"/>
        <v>512.77</v>
      </c>
      <c r="AK98" s="22">
        <f t="shared" si="80"/>
        <v>1470.96</v>
      </c>
      <c r="AL98" s="22">
        <f>Dane_kredytowe!F$8-SUM(AN$5:AN97)+SUM(R$42:R97)-SUM(S$42:S98)</f>
        <v>285833.39</v>
      </c>
      <c r="AM98" s="22">
        <f t="shared" si="81"/>
        <v>783.66</v>
      </c>
      <c r="AN98" s="22">
        <f t="shared" si="82"/>
        <v>833.33</v>
      </c>
      <c r="AO98" s="22">
        <f t="shared" si="62"/>
        <v>1616.99</v>
      </c>
      <c r="AP98" s="22">
        <f t="shared" si="63"/>
        <v>-146.02999999999997</v>
      </c>
      <c r="AR98" s="87">
        <f t="shared" si="83"/>
        <v>40087</v>
      </c>
      <c r="AS98" s="23">
        <f>AS$5+SUM(AV$5:AV97)-SUM(X$5:X98)+SUM(W$5:W98)</f>
        <v>135779.33930698127</v>
      </c>
      <c r="AT98" s="22">
        <f t="shared" si="84"/>
        <v>-372.26168859997364</v>
      </c>
      <c r="AU98" s="22">
        <f>IF(AB98=1,IF(Q98="tak",AT98,PMT(M98/12,P98+1-SUM(AB$5:AB98),AS98)),0)</f>
        <v>-611.24470187705788</v>
      </c>
      <c r="AV98" s="22">
        <f t="shared" si="64"/>
        <v>-238.98301327708424</v>
      </c>
      <c r="AW98" s="22">
        <f t="shared" si="85"/>
        <v>-1702.3776191977938</v>
      </c>
      <c r="AY98" s="23">
        <f>AY$5+SUM(BA$5:BA97)+SUM(W$5:W97)-SUM(X$5:X97)</f>
        <v>132489.68143784185</v>
      </c>
      <c r="AZ98" s="23">
        <f t="shared" si="86"/>
        <v>-372.26168859997364</v>
      </c>
      <c r="BA98" s="23">
        <f t="shared" si="87"/>
        <v>-386.27</v>
      </c>
      <c r="BB98" s="23">
        <f t="shared" si="65"/>
        <v>-758.53168859997368</v>
      </c>
      <c r="BC98" s="23">
        <f t="shared" si="88"/>
        <v>-2112.5866059197865</v>
      </c>
      <c r="BE98" s="88">
        <f t="shared" si="89"/>
        <v>4.1799999999999997E-2</v>
      </c>
      <c r="BF98" s="89">
        <f>BE98+Dane_kredytowe!F$12</f>
        <v>7.1800000000000003E-2</v>
      </c>
      <c r="BG98" s="23">
        <f>BG$5+SUM(BH$5:BH97)+SUM(R$5:R97)-SUM(S$5:S97)</f>
        <v>296630.69374882756</v>
      </c>
      <c r="BH98" s="22">
        <f t="shared" si="69"/>
        <v>-263.40011155398724</v>
      </c>
      <c r="BI98" s="22">
        <f t="shared" si="67"/>
        <v>-1774.8403175971516</v>
      </c>
      <c r="BJ98" s="22">
        <f>IF(U98&lt;0,PMT(BF98/12,Dane_kredytowe!F$13-SUM(AB$5:AB98)+1,BG98),0)</f>
        <v>-2038.2404291511389</v>
      </c>
      <c r="BL98" s="23">
        <f>BL$5+SUM(BN$5:BN97)+SUM(R$5:R97)-SUM(S$5:S97)</f>
        <v>285833.33333333331</v>
      </c>
      <c r="BM98" s="23">
        <f t="shared" si="90"/>
        <v>-1710.2361111111111</v>
      </c>
      <c r="BN98" s="23">
        <f t="shared" si="91"/>
        <v>-833.33333333333326</v>
      </c>
      <c r="BO98" s="23">
        <f t="shared" si="92"/>
        <v>-2543.5694444444443</v>
      </c>
      <c r="BQ98" s="89">
        <f t="shared" si="93"/>
        <v>5.8499999999999996E-2</v>
      </c>
      <c r="BR98" s="23">
        <f>BR$5+SUM(BS$5:BS97)+SUM(R$5:R97)-SUM(S$5:S97)+SUM(BV$5:BV97)</f>
        <v>309404.16258715739</v>
      </c>
      <c r="BS98" s="22">
        <f t="shared" si="107"/>
        <v>-350.62428161806974</v>
      </c>
      <c r="BT98" s="22">
        <f t="shared" si="108"/>
        <v>-1508.3452926123921</v>
      </c>
      <c r="BU98" s="22">
        <f>IF(U98&lt;0,PMT(BQ98/12,Dane_kredytowe!F$13-SUM(AB$5:AB98)+1,BR98),0)</f>
        <v>-1858.9695742304618</v>
      </c>
      <c r="BV98" s="22">
        <f t="shared" si="101"/>
        <v>659.35867528163294</v>
      </c>
      <c r="BX98" s="23">
        <f>BX$5+SUM(BZ$5:BZ97)+SUM(R$5:R97)-SUM(S$5:S97)+SUM(CB$5,CB97)</f>
        <v>286812.378850632</v>
      </c>
      <c r="BY98" s="22">
        <f t="shared" si="94"/>
        <v>-1398.210346896831</v>
      </c>
      <c r="BZ98" s="22">
        <f t="shared" si="95"/>
        <v>-836.18769344207578</v>
      </c>
      <c r="CA98" s="22">
        <f t="shared" si="109"/>
        <v>-2234.3980403389069</v>
      </c>
      <c r="CB98" s="22">
        <f t="shared" si="110"/>
        <v>1034.787141390078</v>
      </c>
      <c r="CD98" s="22">
        <f>CD$5+SUM(CE$5:CE97)+SUM(R$5:R97)-SUM(S$5:S97)-SUM(CF$5:CF97)</f>
        <v>308384.92137124157</v>
      </c>
      <c r="CE98" s="22">
        <f t="shared" si="102"/>
        <v>1398.210346896831</v>
      </c>
      <c r="CF98" s="22">
        <f t="shared" si="96"/>
        <v>1199.6108989488289</v>
      </c>
      <c r="CG98" s="22">
        <f t="shared" si="103"/>
        <v>-198.59944794800208</v>
      </c>
      <c r="CI98" s="89">
        <f t="shared" si="97"/>
        <v>0.63029999999999997</v>
      </c>
      <c r="CJ98" s="22">
        <f t="shared" si="98"/>
        <v>-756.11</v>
      </c>
      <c r="CK98" s="15">
        <f t="shared" si="104"/>
        <v>0</v>
      </c>
      <c r="CM98" s="22">
        <f t="shared" si="105"/>
        <v>-22680.262954059865</v>
      </c>
      <c r="CN98" s="15">
        <f t="shared" si="111"/>
        <v>-79.002915956641857</v>
      </c>
    </row>
    <row r="99" spans="1:92">
      <c r="A99" s="25"/>
      <c r="B99" s="80">
        <v>40118</v>
      </c>
      <c r="C99" s="81">
        <f t="shared" si="72"/>
        <v>2.7627999999999999</v>
      </c>
      <c r="D99" s="82">
        <f t="shared" si="106"/>
        <v>2.8456839999999999</v>
      </c>
      <c r="E99" s="73">
        <f t="shared" si="54"/>
        <v>-418.1791589811765</v>
      </c>
      <c r="F99" s="19">
        <f t="shared" si="70"/>
        <v>-1190.0057418461902</v>
      </c>
      <c r="G99" s="19">
        <f t="shared" si="56"/>
        <v>-1318.6993198295647</v>
      </c>
      <c r="H99" s="19">
        <f t="shared" si="71"/>
        <v>-128.69357798337455</v>
      </c>
      <c r="I99" s="62"/>
      <c r="J99" s="15" t="str">
        <f t="shared" si="112"/>
        <v>Ze względu na spadek kursu CHF, rata jest korzystniejsza niż bez klauzuli indeksacyjnej</v>
      </c>
      <c r="K99" s="15">
        <f>IF(B99&lt;=Dane_kredytowe!F$9,0,K98+1)</f>
        <v>19</v>
      </c>
      <c r="L99" s="83">
        <f t="shared" si="73"/>
        <v>2.8999999999999998E-3</v>
      </c>
      <c r="M99" s="84">
        <f>L99+Dane_kredytowe!F$12</f>
        <v>3.2899999999999999E-2</v>
      </c>
      <c r="N99" s="79">
        <f>MAX(Dane_kredytowe!F$17+SUM(AA$5:AA98)-SUM(X$5:X99)+SUM(W$5:W99),0)</f>
        <v>92729.069109069402</v>
      </c>
      <c r="O99" s="85">
        <f>MAX(Dane_kredytowe!F$8+SUM(V$5:V98)-SUM(S$5:S99)+SUM(R$5:R98),0)</f>
        <v>292414.76466803742</v>
      </c>
      <c r="P99" s="67">
        <f t="shared" si="59"/>
        <v>360</v>
      </c>
      <c r="Q99" s="127" t="str">
        <f>IF(AND(K99&gt;0,K99&lt;=Dane_kredytowe!F$16),"tak","nie")</f>
        <v>nie</v>
      </c>
      <c r="R99" s="69"/>
      <c r="S99" s="86">
        <f>IF(Dane_kredytowe!F$19=B99,O98+V98,_xlfn.XLOOKUP(B99,Dane_kredytowe!M$9:M$18,Dane_kredytowe!N$9:N$18,0))</f>
        <v>0</v>
      </c>
      <c r="T99" s="71">
        <f t="shared" si="74"/>
        <v>-801.70381313153587</v>
      </c>
      <c r="U99" s="72">
        <f>IF(Q99="tak",T99,IF(P99-SUM(AB$5:AB99)+1&gt;0,IF(Dane_kredytowe!F$9&lt;B99,IF(SUM(AB$5:AB99)-Dane_kredytowe!F$16+1&gt;0,PMT(M99/12,P99+1-SUM(AB$5:AB99),O99),T99),0),0))</f>
        <v>-1318.6993198295647</v>
      </c>
      <c r="V99" s="72">
        <f t="shared" si="99"/>
        <v>-516.99550669802886</v>
      </c>
      <c r="W99" s="19" t="str">
        <f t="shared" si="100"/>
        <v xml:space="preserve"> </v>
      </c>
      <c r="X99" s="19">
        <f t="shared" si="113"/>
        <v>0</v>
      </c>
      <c r="Y99" s="73">
        <f t="shared" si="76"/>
        <v>-254.23219780736528</v>
      </c>
      <c r="Z99" s="19">
        <f>IF(P99-SUM(AB$5:AB99)+1&gt;0,IF(Dane_kredytowe!F$9&lt;B99,IF(SUM(AB$5:AB99)-Dane_kredytowe!F$16+1&gt;0,PMT(M99/12,P99+1-SUM(AB$5:AB99),N99),Y99),0),0)</f>
        <v>-418.1791589811765</v>
      </c>
      <c r="AA99" s="19">
        <f t="shared" si="68"/>
        <v>-163.94696117381122</v>
      </c>
      <c r="AB99" s="20">
        <f>IF(AND(Dane_kredytowe!F$9&lt;B99,SUM(AB$5:AB98)&lt;P98),1," ")</f>
        <v>1</v>
      </c>
      <c r="AD99" s="75">
        <f>IF(OR(B99&lt;Dane_kredytowe!F$15,Dane_kredytowe!F$15=""),-F99+S99,0)</f>
        <v>0</v>
      </c>
      <c r="AE99" s="75">
        <f t="shared" si="77"/>
        <v>418.1791589811765</v>
      </c>
      <c r="AG99" s="22">
        <f>Dane_kredytowe!F$17-SUM(AI$5:AI98)+SUM(W$42:W99)-SUM(X$42:X99)</f>
        <v>90377.78</v>
      </c>
      <c r="AH99" s="22">
        <f t="shared" si="78"/>
        <v>247.79</v>
      </c>
      <c r="AI99" s="22">
        <f t="shared" si="79"/>
        <v>264.26</v>
      </c>
      <c r="AJ99" s="22">
        <f t="shared" si="61"/>
        <v>512.04999999999995</v>
      </c>
      <c r="AK99" s="22">
        <f t="shared" si="80"/>
        <v>1457.13</v>
      </c>
      <c r="AL99" s="22">
        <f>Dane_kredytowe!F$8-SUM(AN$5:AN98)+SUM(R$42:R98)-SUM(S$42:S99)</f>
        <v>285000.06</v>
      </c>
      <c r="AM99" s="22">
        <f t="shared" si="81"/>
        <v>781.38</v>
      </c>
      <c r="AN99" s="22">
        <f t="shared" si="82"/>
        <v>833.33</v>
      </c>
      <c r="AO99" s="22">
        <f t="shared" si="62"/>
        <v>1614.71</v>
      </c>
      <c r="AP99" s="22">
        <f t="shared" si="63"/>
        <v>-157.57999999999993</v>
      </c>
      <c r="AR99" s="87">
        <f t="shared" si="83"/>
        <v>40118</v>
      </c>
      <c r="AS99" s="23">
        <f>AS$5+SUM(AV$5:AV98)-SUM(X$5:X99)+SUM(W$5:W99)</f>
        <v>135540.35629370419</v>
      </c>
      <c r="AT99" s="22">
        <f t="shared" si="84"/>
        <v>-371.60647683857229</v>
      </c>
      <c r="AU99" s="22">
        <f>IF(AB99=1,IF(Q99="tak",AT99,PMT(M99/12,P99+1-SUM(AB$5:AB99),AS99)),0)</f>
        <v>-611.24470187705788</v>
      </c>
      <c r="AV99" s="22">
        <f t="shared" si="64"/>
        <v>-239.63822503848559</v>
      </c>
      <c r="AW99" s="22">
        <f t="shared" si="85"/>
        <v>-1688.7468623459354</v>
      </c>
      <c r="AY99" s="23">
        <f>AY$5+SUM(BA$5:BA98)+SUM(W$5:W98)-SUM(X$5:X98)</f>
        <v>132103.41143784183</v>
      </c>
      <c r="AZ99" s="23">
        <f t="shared" si="86"/>
        <v>-371.60647683857229</v>
      </c>
      <c r="BA99" s="23">
        <f t="shared" si="87"/>
        <v>-386.27</v>
      </c>
      <c r="BB99" s="23">
        <f t="shared" si="65"/>
        <v>-757.87647683857222</v>
      </c>
      <c r="BC99" s="23">
        <f t="shared" si="88"/>
        <v>-2093.8611302096074</v>
      </c>
      <c r="BE99" s="88">
        <f t="shared" si="89"/>
        <v>4.19E-2</v>
      </c>
      <c r="BF99" s="89">
        <f>BE99+Dane_kredytowe!F$12</f>
        <v>7.1899999999999992E-2</v>
      </c>
      <c r="BG99" s="23">
        <f>BG$5+SUM(BH$5:BH98)+SUM(R$5:R98)-SUM(S$5:S98)</f>
        <v>296367.29363727354</v>
      </c>
      <c r="BH99" s="22">
        <f t="shared" si="69"/>
        <v>-264.48269416713583</v>
      </c>
      <c r="BI99" s="22">
        <f t="shared" si="67"/>
        <v>-1775.7340343766637</v>
      </c>
      <c r="BJ99" s="22">
        <f>IF(U99&lt;0,PMT(BF99/12,Dane_kredytowe!F$13-SUM(AB$5:AB99)+1,BG99),0)</f>
        <v>-2040.2167285437995</v>
      </c>
      <c r="BL99" s="23">
        <f>BL$5+SUM(BN$5:BN98)+SUM(R$5:R98)-SUM(S$5:S98)</f>
        <v>285000</v>
      </c>
      <c r="BM99" s="23">
        <f t="shared" si="90"/>
        <v>-1707.6249999999998</v>
      </c>
      <c r="BN99" s="23">
        <f t="shared" si="91"/>
        <v>-833.33333333333337</v>
      </c>
      <c r="BO99" s="23">
        <f t="shared" si="92"/>
        <v>-2540.958333333333</v>
      </c>
      <c r="BQ99" s="89">
        <f t="shared" si="93"/>
        <v>5.8599999999999999E-2</v>
      </c>
      <c r="BR99" s="23">
        <f>BR$5+SUM(BS$5:BS98)+SUM(R$5:R98)-SUM(S$5:S98)+SUM(BV$5:BV98)</f>
        <v>309712.89698082092</v>
      </c>
      <c r="BS99" s="22">
        <f t="shared" si="107"/>
        <v>-352.45370412704187</v>
      </c>
      <c r="BT99" s="22">
        <f t="shared" si="108"/>
        <v>-1512.4313135896755</v>
      </c>
      <c r="BU99" s="22">
        <f>IF(U99&lt;0,PMT(BQ99/12,Dane_kredytowe!F$13-SUM(AB$5:AB99)+1,BR99),0)</f>
        <v>-1864.8850177167174</v>
      </c>
      <c r="BV99" s="22">
        <f t="shared" si="101"/>
        <v>674.87927587052718</v>
      </c>
      <c r="BX99" s="23">
        <f>BX$5+SUM(BZ$5:BZ98)+SUM(R$5:R98)-SUM(S$5:S98)+SUM(CB$5,CB98)</f>
        <v>285972.16488084715</v>
      </c>
      <c r="BY99" s="22">
        <f t="shared" si="94"/>
        <v>-1396.4974051681368</v>
      </c>
      <c r="BZ99" s="22">
        <f t="shared" si="95"/>
        <v>-836.17592070423143</v>
      </c>
      <c r="CA99" s="22">
        <f t="shared" si="109"/>
        <v>-2232.673325872368</v>
      </c>
      <c r="CB99" s="22">
        <f t="shared" si="110"/>
        <v>1042.6675840261778</v>
      </c>
      <c r="CD99" s="22">
        <f>CD$5+SUM(CE$5:CE98)+SUM(R$5:R98)-SUM(S$5:S98)-SUM(CF$5:CF98)</f>
        <v>308583.52081918955</v>
      </c>
      <c r="CE99" s="22">
        <f t="shared" si="102"/>
        <v>1396.4974051681368</v>
      </c>
      <c r="CF99" s="22">
        <f t="shared" si="96"/>
        <v>1190.0057418461902</v>
      </c>
      <c r="CG99" s="22">
        <f t="shared" si="103"/>
        <v>-206.49166332194659</v>
      </c>
      <c r="CI99" s="89">
        <f t="shared" si="97"/>
        <v>0.62539999999999996</v>
      </c>
      <c r="CJ99" s="22">
        <f t="shared" si="98"/>
        <v>-744.23</v>
      </c>
      <c r="CK99" s="15">
        <f t="shared" si="104"/>
        <v>0</v>
      </c>
      <c r="CM99" s="22">
        <f t="shared" si="105"/>
        <v>-23870.268695906056</v>
      </c>
      <c r="CN99" s="15">
        <f t="shared" si="111"/>
        <v>-83.347021529871981</v>
      </c>
    </row>
    <row r="100" spans="1:92">
      <c r="A100" s="25"/>
      <c r="B100" s="80">
        <v>40148</v>
      </c>
      <c r="C100" s="81">
        <f t="shared" si="72"/>
        <v>2.7584</v>
      </c>
      <c r="D100" s="82">
        <f t="shared" si="106"/>
        <v>2.8411520000000001</v>
      </c>
      <c r="E100" s="73">
        <f t="shared" si="54"/>
        <v>-418.17915898117644</v>
      </c>
      <c r="F100" s="19">
        <f t="shared" si="70"/>
        <v>-1188.1105538976874</v>
      </c>
      <c r="G100" s="19">
        <f t="shared" si="56"/>
        <v>-1318.6993198295645</v>
      </c>
      <c r="H100" s="19">
        <f t="shared" si="71"/>
        <v>-130.58876593187711</v>
      </c>
      <c r="I100" s="62"/>
      <c r="J100" s="15" t="str">
        <f t="shared" si="112"/>
        <v>Ze względu na spadek kursu CHF, rata jest korzystniejsza niż bez klauzuli indeksacyjnej</v>
      </c>
      <c r="K100" s="15">
        <f>IF(B100&lt;=Dane_kredytowe!F$9,0,K99+1)</f>
        <v>20</v>
      </c>
      <c r="L100" s="83">
        <f t="shared" si="73"/>
        <v>2.8999999999999998E-3</v>
      </c>
      <c r="M100" s="84">
        <f>L100+Dane_kredytowe!F$12</f>
        <v>3.2899999999999999E-2</v>
      </c>
      <c r="N100" s="79">
        <f>MAX(Dane_kredytowe!F$17+SUM(AA$5:AA99)-SUM(X$5:X100)+SUM(W$5:W100),0)</f>
        <v>92565.122147895599</v>
      </c>
      <c r="O100" s="85">
        <f>MAX(Dane_kredytowe!F$8+SUM(V$5:V99)-SUM(S$5:S100)+SUM(R$5:R99),0)</f>
        <v>291897.76916133938</v>
      </c>
      <c r="P100" s="67">
        <f t="shared" si="59"/>
        <v>360</v>
      </c>
      <c r="Q100" s="127" t="str">
        <f>IF(AND(K100&gt;0,K100&lt;=Dane_kredytowe!F$16),"tak","nie")</f>
        <v>nie</v>
      </c>
      <c r="R100" s="69"/>
      <c r="S100" s="86">
        <f>IF(Dane_kredytowe!F$19=B100,O99+V99,_xlfn.XLOOKUP(B100,Dane_kredytowe!M$9:M$18,Dane_kredytowe!N$9:N$18,0))</f>
        <v>0</v>
      </c>
      <c r="T100" s="71">
        <f t="shared" si="74"/>
        <v>-800.28638378400547</v>
      </c>
      <c r="U100" s="72">
        <f>IF(Q100="tak",T100,IF(P100-SUM(AB$5:AB100)+1&gt;0,IF(Dane_kredytowe!F$9&lt;B100,IF(SUM(AB$5:AB100)-Dane_kredytowe!F$16+1&gt;0,PMT(M100/12,P100+1-SUM(AB$5:AB100),O100),T100),0),0))</f>
        <v>-1318.6993198295645</v>
      </c>
      <c r="V100" s="72">
        <f t="shared" si="99"/>
        <v>-518.41293604555904</v>
      </c>
      <c r="W100" s="19" t="str">
        <f t="shared" si="100"/>
        <v xml:space="preserve"> </v>
      </c>
      <c r="X100" s="19">
        <f t="shared" si="113"/>
        <v>0</v>
      </c>
      <c r="Y100" s="73">
        <f t="shared" si="76"/>
        <v>-253.78270988881377</v>
      </c>
      <c r="Z100" s="19">
        <f>IF(P100-SUM(AB$5:AB100)+1&gt;0,IF(Dane_kredytowe!F$9&lt;B100,IF(SUM(AB$5:AB100)-Dane_kredytowe!F$16+1&gt;0,PMT(M100/12,P100+1-SUM(AB$5:AB100),N100),Y100),0),0)</f>
        <v>-418.17915898117644</v>
      </c>
      <c r="AA100" s="19">
        <f t="shared" si="68"/>
        <v>-164.39644909236267</v>
      </c>
      <c r="AB100" s="20">
        <f>IF(AND(Dane_kredytowe!F$9&lt;B100,SUM(AB$5:AB99)&lt;P99),1," ")</f>
        <v>1</v>
      </c>
      <c r="AD100" s="75">
        <f>IF(OR(B100&lt;Dane_kredytowe!F$15,Dane_kredytowe!F$15=""),-F100+S100,0)</f>
        <v>0</v>
      </c>
      <c r="AE100" s="75">
        <f t="shared" si="77"/>
        <v>418.17915898117644</v>
      </c>
      <c r="AG100" s="22">
        <f>Dane_kredytowe!F$17-SUM(AI$5:AI99)+SUM(W$42:W100)-SUM(X$42:X100)</f>
        <v>90113.52</v>
      </c>
      <c r="AH100" s="22">
        <f t="shared" si="78"/>
        <v>247.06</v>
      </c>
      <c r="AI100" s="22">
        <f t="shared" si="79"/>
        <v>264.26</v>
      </c>
      <c r="AJ100" s="22">
        <f t="shared" si="61"/>
        <v>511.32</v>
      </c>
      <c r="AK100" s="22">
        <f t="shared" si="80"/>
        <v>1452.74</v>
      </c>
      <c r="AL100" s="22">
        <f>Dane_kredytowe!F$8-SUM(AN$5:AN99)+SUM(R$42:R99)-SUM(S$42:S100)</f>
        <v>284166.73</v>
      </c>
      <c r="AM100" s="22">
        <f t="shared" si="81"/>
        <v>779.09</v>
      </c>
      <c r="AN100" s="22">
        <f t="shared" si="82"/>
        <v>833.33</v>
      </c>
      <c r="AO100" s="22">
        <f t="shared" si="62"/>
        <v>1612.42</v>
      </c>
      <c r="AP100" s="22">
        <f t="shared" si="63"/>
        <v>-159.68000000000006</v>
      </c>
      <c r="AR100" s="87">
        <f t="shared" si="83"/>
        <v>40148</v>
      </c>
      <c r="AS100" s="23">
        <f>AS$5+SUM(AV$5:AV99)-SUM(X$5:X100)+SUM(W$5:W100)</f>
        <v>135300.71806866571</v>
      </c>
      <c r="AT100" s="22">
        <f t="shared" si="84"/>
        <v>-370.9494687049251</v>
      </c>
      <c r="AU100" s="22">
        <f>IF(AB100=1,IF(Q100="tak",AT100,PMT(M100/12,P100+1-SUM(AB$5:AB100),AS100)),0)</f>
        <v>-611.24470187705788</v>
      </c>
      <c r="AV100" s="22">
        <f t="shared" si="64"/>
        <v>-240.29523317213278</v>
      </c>
      <c r="AW100" s="22">
        <f t="shared" si="85"/>
        <v>-1686.0573856576764</v>
      </c>
      <c r="AY100" s="23">
        <f>AY$5+SUM(BA$5:BA99)+SUM(W$5:W99)-SUM(X$5:X99)</f>
        <v>131717.14143784184</v>
      </c>
      <c r="AZ100" s="23">
        <f t="shared" si="86"/>
        <v>-370.9494687049251</v>
      </c>
      <c r="BA100" s="23">
        <f t="shared" si="87"/>
        <v>-386.27</v>
      </c>
      <c r="BB100" s="23">
        <f t="shared" si="65"/>
        <v>-757.21946870492502</v>
      </c>
      <c r="BC100" s="23">
        <f t="shared" si="88"/>
        <v>-2088.714182475665</v>
      </c>
      <c r="BE100" s="88">
        <f t="shared" si="89"/>
        <v>4.2299999999999997E-2</v>
      </c>
      <c r="BF100" s="89">
        <f>BE100+Dane_kredytowe!F$12</f>
        <v>7.2300000000000003E-2</v>
      </c>
      <c r="BG100" s="23">
        <f>BG$5+SUM(BH$5:BH99)+SUM(R$5:R99)-SUM(S$5:S99)</f>
        <v>296102.81094310642</v>
      </c>
      <c r="BH100" s="22">
        <f t="shared" si="69"/>
        <v>-264.09666233500161</v>
      </c>
      <c r="BI100" s="22">
        <f t="shared" si="67"/>
        <v>-1784.0194359322161</v>
      </c>
      <c r="BJ100" s="22">
        <f>IF(U100&lt;0,PMT(BF100/12,Dane_kredytowe!F$13-SUM(AB$5:AB100)+1,BG100),0)</f>
        <v>-2048.1160982672177</v>
      </c>
      <c r="BL100" s="23">
        <f>BL$5+SUM(BN$5:BN99)+SUM(R$5:R99)-SUM(S$5:S99)</f>
        <v>284166.66666666669</v>
      </c>
      <c r="BM100" s="23">
        <f t="shared" si="90"/>
        <v>-1712.104166666667</v>
      </c>
      <c r="BN100" s="23">
        <f t="shared" si="91"/>
        <v>-833.33333333333337</v>
      </c>
      <c r="BO100" s="23">
        <f t="shared" si="92"/>
        <v>-2545.4375000000005</v>
      </c>
      <c r="BQ100" s="89">
        <f t="shared" si="93"/>
        <v>5.8999999999999997E-2</v>
      </c>
      <c r="BR100" s="23">
        <f>BR$5+SUM(BS$5:BS99)+SUM(R$5:R99)-SUM(S$5:S99)+SUM(BV$5:BV99)</f>
        <v>310035.32255256444</v>
      </c>
      <c r="BS100" s="22">
        <f t="shared" si="107"/>
        <v>-352.42152078094182</v>
      </c>
      <c r="BT100" s="22">
        <f t="shared" si="108"/>
        <v>-1524.3403358834419</v>
      </c>
      <c r="BU100" s="22">
        <f>IF(U100&lt;0,PMT(BQ100/12,Dane_kredytowe!F$13-SUM(AB$5:AB100)+1,BR100),0)</f>
        <v>-1876.7618566643837</v>
      </c>
      <c r="BV100" s="22">
        <f t="shared" si="101"/>
        <v>688.65130276669629</v>
      </c>
      <c r="BX100" s="23">
        <f>BX$5+SUM(BZ$5:BZ99)+SUM(R$5:R99)-SUM(S$5:S99)+SUM(CB$5,CB99)</f>
        <v>285143.86940277898</v>
      </c>
      <c r="BY100" s="22">
        <f t="shared" si="94"/>
        <v>-1401.9573578969967</v>
      </c>
      <c r="BZ100" s="22">
        <f t="shared" si="95"/>
        <v>-836.19903050668324</v>
      </c>
      <c r="CA100" s="22">
        <f t="shared" si="109"/>
        <v>-2238.15638840368</v>
      </c>
      <c r="CB100" s="22">
        <f t="shared" si="110"/>
        <v>1050.0458345059926</v>
      </c>
      <c r="CD100" s="22">
        <f>CD$5+SUM(CE$5:CE99)+SUM(R$5:R99)-SUM(S$5:S99)-SUM(CF$5:CF99)</f>
        <v>308790.01248251152</v>
      </c>
      <c r="CE100" s="22">
        <f t="shared" si="102"/>
        <v>1401.9573578969967</v>
      </c>
      <c r="CF100" s="22">
        <f t="shared" si="96"/>
        <v>1188.1105538976874</v>
      </c>
      <c r="CG100" s="22">
        <f t="shared" si="103"/>
        <v>-213.84680399930926</v>
      </c>
      <c r="CI100" s="89">
        <f t="shared" si="97"/>
        <v>0.62539999999999996</v>
      </c>
      <c r="CJ100" s="22">
        <f t="shared" si="98"/>
        <v>-743.04</v>
      </c>
      <c r="CK100" s="15">
        <f t="shared" si="104"/>
        <v>0</v>
      </c>
      <c r="CM100" s="22">
        <f t="shared" si="105"/>
        <v>-25058.379249803744</v>
      </c>
      <c r="CN100" s="15">
        <f t="shared" si="111"/>
        <v>-88.330786855558188</v>
      </c>
    </row>
    <row r="101" spans="1:92">
      <c r="A101" s="25">
        <v>2010</v>
      </c>
      <c r="B101" s="80">
        <v>40179</v>
      </c>
      <c r="C101" s="81">
        <f t="shared" si="72"/>
        <v>2.7572999999999999</v>
      </c>
      <c r="D101" s="82">
        <f t="shared" si="106"/>
        <v>2.8400189999999998</v>
      </c>
      <c r="E101" s="73">
        <f t="shared" si="54"/>
        <v>-418.17915898117644</v>
      </c>
      <c r="F101" s="19">
        <f t="shared" si="70"/>
        <v>-1187.6367569105616</v>
      </c>
      <c r="G101" s="19">
        <f t="shared" si="56"/>
        <v>-1318.6993198295645</v>
      </c>
      <c r="H101" s="19">
        <f t="shared" si="71"/>
        <v>-131.06256291900286</v>
      </c>
      <c r="I101" s="62"/>
      <c r="J101" s="15" t="str">
        <f t="shared" si="112"/>
        <v>Ze względu na spadek kursu CHF, rata jest korzystniejsza niż bez klauzuli indeksacyjnej</v>
      </c>
      <c r="K101" s="15">
        <f>IF(B101&lt;=Dane_kredytowe!F$9,0,K100+1)</f>
        <v>21</v>
      </c>
      <c r="L101" s="83">
        <f t="shared" si="73"/>
        <v>2.8999999999999998E-3</v>
      </c>
      <c r="M101" s="84">
        <f>L101+Dane_kredytowe!F$12</f>
        <v>3.2899999999999999E-2</v>
      </c>
      <c r="N101" s="79">
        <f>MAX(Dane_kredytowe!F$17+SUM(AA$5:AA100)-SUM(X$5:X101)+SUM(W$5:W101),0)</f>
        <v>92400.725698803231</v>
      </c>
      <c r="O101" s="85">
        <f>MAX(Dane_kredytowe!F$8+SUM(V$5:V100)-SUM(S$5:S101)+SUM(R$5:R100),0)</f>
        <v>291379.35622529383</v>
      </c>
      <c r="P101" s="67">
        <f t="shared" si="59"/>
        <v>360</v>
      </c>
      <c r="Q101" s="127" t="str">
        <f>IF(AND(K101&gt;0,K101&lt;=Dane_kredytowe!F$16),"tak","nie")</f>
        <v>nie</v>
      </c>
      <c r="R101" s="69"/>
      <c r="S101" s="86">
        <f>IF(Dane_kredytowe!F$19=B101,O100+V100,_xlfn.XLOOKUP(B101,Dane_kredytowe!M$9:M$18,Dane_kredytowe!N$9:N$18,0))</f>
        <v>0</v>
      </c>
      <c r="T101" s="71">
        <f t="shared" si="74"/>
        <v>-798.86506831768054</v>
      </c>
      <c r="U101" s="72">
        <f>IF(Q101="tak",T101,IF(P101-SUM(AB$5:AB101)+1&gt;0,IF(Dane_kredytowe!F$9&lt;B101,IF(SUM(AB$5:AB101)-Dane_kredytowe!F$16+1&gt;0,PMT(M101/12,P101+1-SUM(AB$5:AB101),O101),T101),0),0))</f>
        <v>-1318.6993198295645</v>
      </c>
      <c r="V101" s="72">
        <f t="shared" si="99"/>
        <v>-519.83425151188396</v>
      </c>
      <c r="W101" s="19" t="str">
        <f t="shared" si="100"/>
        <v xml:space="preserve"> </v>
      </c>
      <c r="X101" s="19">
        <f t="shared" si="113"/>
        <v>0</v>
      </c>
      <c r="Y101" s="73">
        <f t="shared" si="76"/>
        <v>-253.33198962421886</v>
      </c>
      <c r="Z101" s="19">
        <f>IF(P101-SUM(AB$5:AB101)+1&gt;0,IF(Dane_kredytowe!F$9&lt;B101,IF(SUM(AB$5:AB101)-Dane_kredytowe!F$16+1&gt;0,PMT(M101/12,P101+1-SUM(AB$5:AB101),N101),Y101),0),0)</f>
        <v>-418.17915898117644</v>
      </c>
      <c r="AA101" s="19">
        <f t="shared" si="68"/>
        <v>-164.84716935695758</v>
      </c>
      <c r="AB101" s="20">
        <f>IF(AND(Dane_kredytowe!F$9&lt;B101,SUM(AB$5:AB100)&lt;P100),1," ")</f>
        <v>1</v>
      </c>
      <c r="AD101" s="75">
        <f>IF(OR(B101&lt;Dane_kredytowe!F$15,Dane_kredytowe!F$15=""),-F101+S101,0)</f>
        <v>0</v>
      </c>
      <c r="AE101" s="75">
        <f t="shared" si="77"/>
        <v>418.17915898117644</v>
      </c>
      <c r="AG101" s="22">
        <f>Dane_kredytowe!F$17-SUM(AI$5:AI100)+SUM(W$42:W101)-SUM(X$42:X101)</f>
        <v>89849.260000000009</v>
      </c>
      <c r="AH101" s="22">
        <f t="shared" si="78"/>
        <v>246.34</v>
      </c>
      <c r="AI101" s="22">
        <f t="shared" si="79"/>
        <v>264.26</v>
      </c>
      <c r="AJ101" s="22">
        <f t="shared" si="61"/>
        <v>510.6</v>
      </c>
      <c r="AK101" s="22">
        <f t="shared" si="80"/>
        <v>1450.11</v>
      </c>
      <c r="AL101" s="22">
        <f>Dane_kredytowe!F$8-SUM(AN$5:AN100)+SUM(R$42:R100)-SUM(S$42:S101)</f>
        <v>283333.40000000002</v>
      </c>
      <c r="AM101" s="22">
        <f t="shared" si="81"/>
        <v>776.81</v>
      </c>
      <c r="AN101" s="22">
        <f t="shared" si="82"/>
        <v>833.33</v>
      </c>
      <c r="AO101" s="22">
        <f t="shared" si="62"/>
        <v>1610.1399999999999</v>
      </c>
      <c r="AP101" s="22">
        <f t="shared" si="63"/>
        <v>-160.02999999999997</v>
      </c>
      <c r="AR101" s="87">
        <f t="shared" si="83"/>
        <v>40179</v>
      </c>
      <c r="AS101" s="23">
        <f>AS$5+SUM(AV$5:AV100)-SUM(X$5:X101)+SUM(W$5:W101)</f>
        <v>135060.42283549358</v>
      </c>
      <c r="AT101" s="22">
        <f t="shared" si="84"/>
        <v>-370.29065927397824</v>
      </c>
      <c r="AU101" s="22">
        <f>IF(AB101=1,IF(Q101="tak",AT101,PMT(M101/12,P101+1-SUM(AB$5:AB101),AS101)),0)</f>
        <v>-611.24470187705776</v>
      </c>
      <c r="AV101" s="22">
        <f t="shared" si="64"/>
        <v>-240.95404260307953</v>
      </c>
      <c r="AW101" s="22">
        <f t="shared" si="85"/>
        <v>-1685.3850164856112</v>
      </c>
      <c r="AY101" s="23">
        <f>AY$5+SUM(BA$5:BA100)+SUM(W$5:W100)-SUM(X$5:X100)</f>
        <v>131330.87143784185</v>
      </c>
      <c r="AZ101" s="23">
        <f t="shared" si="86"/>
        <v>-370.29065927397824</v>
      </c>
      <c r="BA101" s="23">
        <f t="shared" si="87"/>
        <v>-386.27</v>
      </c>
      <c r="BB101" s="23">
        <f t="shared" si="65"/>
        <v>-756.56065927397822</v>
      </c>
      <c r="BC101" s="23">
        <f t="shared" si="88"/>
        <v>-2086.0647058161398</v>
      </c>
      <c r="BE101" s="88">
        <f t="shared" si="89"/>
        <v>4.24E-2</v>
      </c>
      <c r="BF101" s="89">
        <f>BE101+Dane_kredytowe!F$12</f>
        <v>7.2399999999999992E-2</v>
      </c>
      <c r="BG101" s="23">
        <f>BG$5+SUM(BH$5:BH100)+SUM(R$5:R100)-SUM(S$5:S100)</f>
        <v>295838.71428077138</v>
      </c>
      <c r="BH101" s="22">
        <f t="shared" si="69"/>
        <v>-265.19589917692178</v>
      </c>
      <c r="BI101" s="22">
        <f t="shared" si="67"/>
        <v>-1784.8935761606538</v>
      </c>
      <c r="BJ101" s="22">
        <f>IF(U101&lt;0,PMT(BF101/12,Dane_kredytowe!F$13-SUM(AB$5:AB101)+1,BG101),0)</f>
        <v>-2050.0894753375755</v>
      </c>
      <c r="BL101" s="23">
        <f>BL$5+SUM(BN$5:BN100)+SUM(R$5:R100)-SUM(S$5:S100)</f>
        <v>283333.33333333331</v>
      </c>
      <c r="BM101" s="23">
        <f t="shared" si="90"/>
        <v>-1709.4444444444441</v>
      </c>
      <c r="BN101" s="23">
        <f t="shared" si="91"/>
        <v>-833.33333333333326</v>
      </c>
      <c r="BO101" s="23">
        <f t="shared" si="92"/>
        <v>-2542.7777777777774</v>
      </c>
      <c r="BQ101" s="89">
        <f t="shared" si="93"/>
        <v>5.91E-2</v>
      </c>
      <c r="BR101" s="23">
        <f>BR$5+SUM(BS$5:BS100)+SUM(R$5:R100)-SUM(S$5:S100)+SUM(BV$5:BV100)</f>
        <v>310371.55233455019</v>
      </c>
      <c r="BS101" s="22">
        <f t="shared" si="107"/>
        <v>-354.31034266213169</v>
      </c>
      <c r="BT101" s="22">
        <f t="shared" si="108"/>
        <v>-1528.5798952476598</v>
      </c>
      <c r="BU101" s="22">
        <f>IF(U101&lt;0,PMT(BQ101/12,Dane_kredytowe!F$13-SUM(AB$5:AB101)+1,BR101),0)</f>
        <v>-1882.8902379097915</v>
      </c>
      <c r="BV101" s="22">
        <f t="shared" si="101"/>
        <v>695.25348099922985</v>
      </c>
      <c r="BX101" s="23">
        <f>BX$5+SUM(BZ$5:BZ100)+SUM(R$5:R100)-SUM(S$5:S100)+SUM(CB$5,CB100)</f>
        <v>284315.04862275213</v>
      </c>
      <c r="BY101" s="22">
        <f t="shared" si="94"/>
        <v>-1400.2516144670542</v>
      </c>
      <c r="BZ101" s="22">
        <f t="shared" si="95"/>
        <v>-836.22073124338863</v>
      </c>
      <c r="CA101" s="22">
        <f t="shared" si="109"/>
        <v>-2236.4723457104428</v>
      </c>
      <c r="CB101" s="22">
        <f t="shared" si="110"/>
        <v>1048.8355887998812</v>
      </c>
      <c r="CD101" s="22">
        <f>CD$5+SUM(CE$5:CE100)+SUM(R$5:R100)-SUM(S$5:S100)-SUM(CF$5:CF100)</f>
        <v>309003.85928651085</v>
      </c>
      <c r="CE101" s="22">
        <f t="shared" si="102"/>
        <v>1400.2516144670542</v>
      </c>
      <c r="CF101" s="22">
        <f t="shared" si="96"/>
        <v>1187.6367569105616</v>
      </c>
      <c r="CG101" s="22">
        <f t="shared" si="103"/>
        <v>-212.61485755649255</v>
      </c>
      <c r="CI101" s="89">
        <f t="shared" si="97"/>
        <v>0.61570000000000003</v>
      </c>
      <c r="CJ101" s="22">
        <f t="shared" si="98"/>
        <v>-731.23</v>
      </c>
      <c r="CK101" s="15">
        <f t="shared" si="104"/>
        <v>0</v>
      </c>
      <c r="CM101" s="22">
        <f t="shared" si="105"/>
        <v>-26246.016006714304</v>
      </c>
      <c r="CN101" s="15">
        <f t="shared" si="111"/>
        <v>-92.735923223723873</v>
      </c>
    </row>
    <row r="102" spans="1:92">
      <c r="A102" s="25"/>
      <c r="B102" s="80">
        <v>40210</v>
      </c>
      <c r="C102" s="81">
        <f t="shared" si="72"/>
        <v>2.7370999999999999</v>
      </c>
      <c r="D102" s="82">
        <f t="shared" si="106"/>
        <v>2.819213</v>
      </c>
      <c r="E102" s="73">
        <f t="shared" si="54"/>
        <v>-418.1791589811765</v>
      </c>
      <c r="F102" s="19">
        <f t="shared" si="70"/>
        <v>-1178.9361213287996</v>
      </c>
      <c r="G102" s="19">
        <f t="shared" si="56"/>
        <v>-1318.699319829565</v>
      </c>
      <c r="H102" s="19">
        <f t="shared" si="71"/>
        <v>-139.76319850076538</v>
      </c>
      <c r="I102" s="62"/>
      <c r="J102" s="15" t="str">
        <f t="shared" si="112"/>
        <v>Ze względu na spadek kursu CHF, rata jest korzystniejsza niż bez klauzuli indeksacyjnej</v>
      </c>
      <c r="K102" s="15">
        <f>IF(B102&lt;=Dane_kredytowe!F$9,0,K101+1)</f>
        <v>22</v>
      </c>
      <c r="L102" s="83">
        <f t="shared" si="73"/>
        <v>2.8999999999999998E-3</v>
      </c>
      <c r="M102" s="84">
        <f>L102+Dane_kredytowe!F$12</f>
        <v>3.2899999999999999E-2</v>
      </c>
      <c r="N102" s="79">
        <f>MAX(Dane_kredytowe!F$17+SUM(AA$5:AA101)-SUM(X$5:X102)+SUM(W$5:W102),0)</f>
        <v>92235.878529446272</v>
      </c>
      <c r="O102" s="85">
        <f>MAX(Dane_kredytowe!F$8+SUM(V$5:V101)-SUM(S$5:S102)+SUM(R$5:R101),0)</f>
        <v>290859.52197378199</v>
      </c>
      <c r="P102" s="67">
        <f t="shared" si="59"/>
        <v>360</v>
      </c>
      <c r="Q102" s="127" t="str">
        <f>IF(AND(K102&gt;0,K102&lt;=Dane_kredytowe!F$16),"tak","nie")</f>
        <v>nie</v>
      </c>
      <c r="R102" s="69"/>
      <c r="S102" s="86">
        <f>IF(Dane_kredytowe!F$19=B102,O101+V101,_xlfn.XLOOKUP(B102,Dane_kredytowe!M$9:M$18,Dane_kredytowe!N$9:N$18,0))</f>
        <v>0</v>
      </c>
      <c r="T102" s="71">
        <f t="shared" si="74"/>
        <v>-797.43985607811885</v>
      </c>
      <c r="U102" s="72">
        <f>IF(Q102="tak",T102,IF(P102-SUM(AB$5:AB102)+1&gt;0,IF(Dane_kredytowe!F$9&lt;B102,IF(SUM(AB$5:AB102)-Dane_kredytowe!F$16+1&gt;0,PMT(M102/12,P102+1-SUM(AB$5:AB102),O102),T102),0),0))</f>
        <v>-1318.699319829565</v>
      </c>
      <c r="V102" s="72">
        <f t="shared" si="99"/>
        <v>-521.25946375144611</v>
      </c>
      <c r="W102" s="19" t="str">
        <f t="shared" si="100"/>
        <v xml:space="preserve"> </v>
      </c>
      <c r="X102" s="19">
        <f t="shared" si="113"/>
        <v>0</v>
      </c>
      <c r="Y102" s="73">
        <f t="shared" si="76"/>
        <v>-252.88003363489852</v>
      </c>
      <c r="Z102" s="19">
        <f>IF(P102-SUM(AB$5:AB102)+1&gt;0,IF(Dane_kredytowe!F$9&lt;B102,IF(SUM(AB$5:AB102)-Dane_kredytowe!F$16+1&gt;0,PMT(M102/12,P102+1-SUM(AB$5:AB102),N102),Y102),0),0)</f>
        <v>-418.1791589811765</v>
      </c>
      <c r="AA102" s="19">
        <f t="shared" si="68"/>
        <v>-165.29912534627798</v>
      </c>
      <c r="AB102" s="20">
        <f>IF(AND(Dane_kredytowe!F$9&lt;B102,SUM(AB$5:AB101)&lt;P101),1," ")</f>
        <v>1</v>
      </c>
      <c r="AD102" s="75">
        <f>IF(OR(B102&lt;Dane_kredytowe!F$15,Dane_kredytowe!F$15=""),-F102+S102,0)</f>
        <v>0</v>
      </c>
      <c r="AE102" s="75">
        <f t="shared" si="77"/>
        <v>418.1791589811765</v>
      </c>
      <c r="AG102" s="22">
        <f>Dane_kredytowe!F$17-SUM(AI$5:AI101)+SUM(W$42:W102)-SUM(X$42:X102)</f>
        <v>89585</v>
      </c>
      <c r="AH102" s="22">
        <f t="shared" si="78"/>
        <v>245.61</v>
      </c>
      <c r="AI102" s="22">
        <f t="shared" si="79"/>
        <v>264.26</v>
      </c>
      <c r="AJ102" s="22">
        <f t="shared" si="61"/>
        <v>509.87</v>
      </c>
      <c r="AK102" s="22">
        <f t="shared" si="80"/>
        <v>1437.43</v>
      </c>
      <c r="AL102" s="22">
        <f>Dane_kredytowe!F$8-SUM(AN$5:AN101)+SUM(R$42:R101)-SUM(S$42:S102)</f>
        <v>282500.07</v>
      </c>
      <c r="AM102" s="22">
        <f t="shared" si="81"/>
        <v>774.52</v>
      </c>
      <c r="AN102" s="22">
        <f t="shared" si="82"/>
        <v>833.33</v>
      </c>
      <c r="AO102" s="22">
        <f t="shared" si="62"/>
        <v>1607.85</v>
      </c>
      <c r="AP102" s="22">
        <f t="shared" si="63"/>
        <v>-170.41999999999985</v>
      </c>
      <c r="AR102" s="87">
        <f t="shared" si="83"/>
        <v>40210</v>
      </c>
      <c r="AS102" s="23">
        <f>AS$5+SUM(AV$5:AV101)-SUM(X$5:X102)+SUM(W$5:W102)</f>
        <v>134819.46879289049</v>
      </c>
      <c r="AT102" s="22">
        <f t="shared" si="84"/>
        <v>-369.63004360717474</v>
      </c>
      <c r="AU102" s="22">
        <f>IF(AB102=1,IF(Q102="tak",AT102,PMT(M102/12,P102+1-SUM(AB$5:AB102),AS102)),0)</f>
        <v>-611.24470187705788</v>
      </c>
      <c r="AV102" s="22">
        <f t="shared" si="64"/>
        <v>-241.61465826988314</v>
      </c>
      <c r="AW102" s="22">
        <f t="shared" si="85"/>
        <v>-1673.0378735076949</v>
      </c>
      <c r="AY102" s="23">
        <f>AY$5+SUM(BA$5:BA101)+SUM(W$5:W101)-SUM(X$5:X101)</f>
        <v>130944.60143784185</v>
      </c>
      <c r="AZ102" s="23">
        <f t="shared" si="86"/>
        <v>-369.63004360717474</v>
      </c>
      <c r="BA102" s="23">
        <f t="shared" si="87"/>
        <v>-386.27</v>
      </c>
      <c r="BB102" s="23">
        <f t="shared" si="65"/>
        <v>-755.90004360717467</v>
      </c>
      <c r="BC102" s="23">
        <f t="shared" si="88"/>
        <v>-2068.9740093571977</v>
      </c>
      <c r="BE102" s="88">
        <f t="shared" si="89"/>
        <v>4.1700000000000001E-2</v>
      </c>
      <c r="BF102" s="89">
        <f>BE102+Dane_kredytowe!F$12</f>
        <v>7.17E-2</v>
      </c>
      <c r="BG102" s="23">
        <f>BG$5+SUM(BH$5:BH101)+SUM(R$5:R101)-SUM(S$5:S101)</f>
        <v>295573.51838159451</v>
      </c>
      <c r="BH102" s="22">
        <f t="shared" si="69"/>
        <v>-270.26414344565751</v>
      </c>
      <c r="BI102" s="22">
        <f t="shared" si="67"/>
        <v>-1766.0517723300272</v>
      </c>
      <c r="BJ102" s="22">
        <f>IF(U102&lt;0,PMT(BF102/12,Dane_kredytowe!F$13-SUM(AB$5:AB102)+1,BG102),0)</f>
        <v>-2036.3159157756847</v>
      </c>
      <c r="BL102" s="23">
        <f>BL$5+SUM(BN$5:BN101)+SUM(R$5:R101)-SUM(S$5:S101)</f>
        <v>282500</v>
      </c>
      <c r="BM102" s="23">
        <f t="shared" si="90"/>
        <v>-1687.9375</v>
      </c>
      <c r="BN102" s="23">
        <f t="shared" si="91"/>
        <v>-833.33333333333337</v>
      </c>
      <c r="BO102" s="23">
        <f t="shared" si="92"/>
        <v>-2521.2708333333335</v>
      </c>
      <c r="BQ102" s="89">
        <f t="shared" si="93"/>
        <v>5.8400000000000001E-2</v>
      </c>
      <c r="BR102" s="23">
        <f>BR$5+SUM(BS$5:BS101)+SUM(R$5:R101)-SUM(S$5:S101)+SUM(BV$5:BV101)</f>
        <v>310712.4954728873</v>
      </c>
      <c r="BS102" s="22">
        <f t="shared" si="107"/>
        <v>-361.30956338599071</v>
      </c>
      <c r="BT102" s="22">
        <f t="shared" si="108"/>
        <v>-1512.134144634718</v>
      </c>
      <c r="BU102" s="22">
        <f>IF(U102&lt;0,PMT(BQ102/12,Dane_kredytowe!F$13-SUM(AB$5:AB102)+1,BR102),0)</f>
        <v>-1873.4437080207088</v>
      </c>
      <c r="BV102" s="22">
        <f t="shared" si="101"/>
        <v>694.50758669190918</v>
      </c>
      <c r="BX102" s="23">
        <f>BX$5+SUM(BZ$5:BZ101)+SUM(R$5:R101)-SUM(S$5:S101)+SUM(CB$5,CB101)</f>
        <v>283477.61764580267</v>
      </c>
      <c r="BY102" s="22">
        <f t="shared" si="94"/>
        <v>-1379.5910725429064</v>
      </c>
      <c r="BZ102" s="22">
        <f t="shared" si="95"/>
        <v>-836.21716119705809</v>
      </c>
      <c r="CA102" s="22">
        <f t="shared" si="109"/>
        <v>-2215.8082337399646</v>
      </c>
      <c r="CB102" s="22">
        <f t="shared" si="110"/>
        <v>1036.8721124111651</v>
      </c>
      <c r="CD102" s="22">
        <f>CD$5+SUM(CE$5:CE101)+SUM(R$5:R101)-SUM(S$5:S101)-SUM(CF$5:CF101)</f>
        <v>309216.47414406732</v>
      </c>
      <c r="CE102" s="22">
        <f t="shared" si="102"/>
        <v>1379.5910725429064</v>
      </c>
      <c r="CF102" s="22">
        <f t="shared" si="96"/>
        <v>1178.9361213287996</v>
      </c>
      <c r="CG102" s="22">
        <f t="shared" si="103"/>
        <v>-200.65495121410686</v>
      </c>
      <c r="CI102" s="89">
        <f t="shared" si="97"/>
        <v>0.61250000000000004</v>
      </c>
      <c r="CJ102" s="22">
        <f t="shared" si="98"/>
        <v>-722.1</v>
      </c>
      <c r="CK102" s="15">
        <f t="shared" si="104"/>
        <v>0</v>
      </c>
      <c r="CM102" s="22">
        <f t="shared" si="105"/>
        <v>-27424.952128043104</v>
      </c>
      <c r="CN102" s="15">
        <f t="shared" si="111"/>
        <v>-95.301708644949784</v>
      </c>
    </row>
    <row r="103" spans="1:92">
      <c r="A103" s="25"/>
      <c r="B103" s="80">
        <v>40238</v>
      </c>
      <c r="C103" s="81">
        <f t="shared" si="72"/>
        <v>2.6884999999999999</v>
      </c>
      <c r="D103" s="82">
        <f t="shared" si="106"/>
        <v>2.769155</v>
      </c>
      <c r="E103" s="73">
        <f t="shared" si="54"/>
        <v>-418.1791589811765</v>
      </c>
      <c r="F103" s="19">
        <f t="shared" si="70"/>
        <v>-1158.0029089885197</v>
      </c>
      <c r="G103" s="19">
        <f t="shared" si="56"/>
        <v>-1318.6993198295647</v>
      </c>
      <c r="H103" s="19">
        <f t="shared" si="71"/>
        <v>-160.69641084104501</v>
      </c>
      <c r="I103" s="62"/>
      <c r="J103" s="15" t="str">
        <f t="shared" si="112"/>
        <v>Ze względu na spadek kursu CHF, rata jest korzystniejsza niż bez klauzuli indeksacyjnej</v>
      </c>
      <c r="K103" s="15">
        <f>IF(B103&lt;=Dane_kredytowe!F$9,0,K102+1)</f>
        <v>23</v>
      </c>
      <c r="L103" s="83">
        <f t="shared" si="73"/>
        <v>2.8999999999999998E-3</v>
      </c>
      <c r="M103" s="84">
        <f>L103+Dane_kredytowe!F$12</f>
        <v>3.2899999999999999E-2</v>
      </c>
      <c r="N103" s="79">
        <f>MAX(Dane_kredytowe!F$17+SUM(AA$5:AA102)-SUM(X$5:X103)+SUM(W$5:W103),0)</f>
        <v>92070.579404100004</v>
      </c>
      <c r="O103" s="85">
        <f>MAX(Dane_kredytowe!F$8+SUM(V$5:V102)-SUM(S$5:S103)+SUM(R$5:R102),0)</f>
        <v>290338.26251003053</v>
      </c>
      <c r="P103" s="67">
        <f t="shared" si="59"/>
        <v>360</v>
      </c>
      <c r="Q103" s="127" t="str">
        <f>IF(AND(K103&gt;0,K103&lt;=Dane_kredytowe!F$16),"tak","nie")</f>
        <v>nie</v>
      </c>
      <c r="R103" s="69"/>
      <c r="S103" s="86">
        <f>IF(Dane_kredytowe!F$19=B103,O102+V102,_xlfn.XLOOKUP(B103,Dane_kredytowe!M$9:M$18,Dane_kredytowe!N$9:N$18,0))</f>
        <v>0</v>
      </c>
      <c r="T103" s="71">
        <f t="shared" si="74"/>
        <v>-796.01073638166702</v>
      </c>
      <c r="U103" s="72">
        <f>IF(Q103="tak",T103,IF(P103-SUM(AB$5:AB103)+1&gt;0,IF(Dane_kredytowe!F$9&lt;B103,IF(SUM(AB$5:AB103)-Dane_kredytowe!F$16+1&gt;0,PMT(M103/12,P103+1-SUM(AB$5:AB103),O103),T103),0),0))</f>
        <v>-1318.6993198295647</v>
      </c>
      <c r="V103" s="72">
        <f t="shared" si="99"/>
        <v>-522.68858344789771</v>
      </c>
      <c r="W103" s="19" t="str">
        <f t="shared" si="100"/>
        <v xml:space="preserve"> </v>
      </c>
      <c r="X103" s="19">
        <f t="shared" si="113"/>
        <v>0</v>
      </c>
      <c r="Y103" s="73">
        <f t="shared" si="76"/>
        <v>-252.42683853290751</v>
      </c>
      <c r="Z103" s="19">
        <f>IF(P103-SUM(AB$5:AB103)+1&gt;0,IF(Dane_kredytowe!F$9&lt;B103,IF(SUM(AB$5:AB103)-Dane_kredytowe!F$16+1&gt;0,PMT(M103/12,P103+1-SUM(AB$5:AB103),N103),Y103),0),0)</f>
        <v>-418.1791589811765</v>
      </c>
      <c r="AA103" s="19">
        <f t="shared" si="68"/>
        <v>-165.75232044826899</v>
      </c>
      <c r="AB103" s="20">
        <f>IF(AND(Dane_kredytowe!F$9&lt;B103,SUM(AB$5:AB102)&lt;P102),1," ")</f>
        <v>1</v>
      </c>
      <c r="AD103" s="75">
        <f>IF(OR(B103&lt;Dane_kredytowe!F$15,Dane_kredytowe!F$15=""),-F103+S103,0)</f>
        <v>0</v>
      </c>
      <c r="AE103" s="75">
        <f t="shared" si="77"/>
        <v>418.1791589811765</v>
      </c>
      <c r="AG103" s="22">
        <f>Dane_kredytowe!F$17-SUM(AI$5:AI102)+SUM(W$42:W103)-SUM(X$42:X103)</f>
        <v>89320.74</v>
      </c>
      <c r="AH103" s="22">
        <f t="shared" si="78"/>
        <v>244.89</v>
      </c>
      <c r="AI103" s="22">
        <f t="shared" si="79"/>
        <v>264.26</v>
      </c>
      <c r="AJ103" s="22">
        <f t="shared" si="61"/>
        <v>509.15</v>
      </c>
      <c r="AK103" s="22">
        <f t="shared" si="80"/>
        <v>1409.92</v>
      </c>
      <c r="AL103" s="22">
        <f>Dane_kredytowe!F$8-SUM(AN$5:AN102)+SUM(R$42:R102)-SUM(S$42:S103)</f>
        <v>281666.74</v>
      </c>
      <c r="AM103" s="22">
        <f t="shared" si="81"/>
        <v>772.24</v>
      </c>
      <c r="AN103" s="22">
        <f t="shared" si="82"/>
        <v>833.33</v>
      </c>
      <c r="AO103" s="22">
        <f t="shared" si="62"/>
        <v>1605.5700000000002</v>
      </c>
      <c r="AP103" s="22">
        <f t="shared" si="63"/>
        <v>-195.65000000000009</v>
      </c>
      <c r="AR103" s="87">
        <f t="shared" si="83"/>
        <v>40238</v>
      </c>
      <c r="AS103" s="23">
        <f>AS$5+SUM(AV$5:AV102)-SUM(X$5:X103)+SUM(W$5:W103)</f>
        <v>134577.8541346206</v>
      </c>
      <c r="AT103" s="22">
        <f t="shared" si="84"/>
        <v>-368.96761675241811</v>
      </c>
      <c r="AU103" s="22">
        <f>IF(AB103=1,IF(Q103="tak",AT103,PMT(M103/12,P103+1-SUM(AB$5:AB103),AS103)),0)</f>
        <v>-611.24470187705788</v>
      </c>
      <c r="AV103" s="22">
        <f t="shared" si="64"/>
        <v>-242.27708512463977</v>
      </c>
      <c r="AW103" s="22">
        <f t="shared" si="85"/>
        <v>-1643.33138099647</v>
      </c>
      <c r="AY103" s="23">
        <f>AY$5+SUM(BA$5:BA102)+SUM(W$5:W102)-SUM(X$5:X102)</f>
        <v>130558.33143784184</v>
      </c>
      <c r="AZ103" s="23">
        <f t="shared" si="86"/>
        <v>-368.96761675241811</v>
      </c>
      <c r="BA103" s="23">
        <f t="shared" si="87"/>
        <v>-386.27</v>
      </c>
      <c r="BB103" s="23">
        <f t="shared" si="65"/>
        <v>-755.23761675241803</v>
      </c>
      <c r="BC103" s="23">
        <f t="shared" si="88"/>
        <v>-2030.4563326388759</v>
      </c>
      <c r="BE103" s="88">
        <f t="shared" si="89"/>
        <v>4.1300000000000003E-2</v>
      </c>
      <c r="BF103" s="89">
        <f>BE103+Dane_kredytowe!F$12</f>
        <v>7.1300000000000002E-2</v>
      </c>
      <c r="BG103" s="23">
        <f>BG$5+SUM(BH$5:BH102)+SUM(R$5:R102)-SUM(S$5:S102)</f>
        <v>295303.2542381488</v>
      </c>
      <c r="BH103" s="22">
        <f t="shared" si="69"/>
        <v>-273.88258975580789</v>
      </c>
      <c r="BI103" s="22">
        <f t="shared" si="67"/>
        <v>-1754.5935022650008</v>
      </c>
      <c r="BJ103" s="22">
        <f>IF(U103&lt;0,PMT(BF103/12,Dane_kredytowe!F$13-SUM(AB$5:AB103)+1,BG103),0)</f>
        <v>-2028.4760920208087</v>
      </c>
      <c r="BL103" s="23">
        <f>BL$5+SUM(BN$5:BN102)+SUM(R$5:R102)-SUM(S$5:S102)</f>
        <v>281666.66666666669</v>
      </c>
      <c r="BM103" s="23">
        <f t="shared" si="90"/>
        <v>-1673.5694444444446</v>
      </c>
      <c r="BN103" s="23">
        <f t="shared" si="91"/>
        <v>-833.33333333333337</v>
      </c>
      <c r="BO103" s="23">
        <f t="shared" si="92"/>
        <v>-2506.9027777777778</v>
      </c>
      <c r="BQ103" s="89">
        <f t="shared" si="93"/>
        <v>5.8000000000000003E-2</v>
      </c>
      <c r="BR103" s="23">
        <f>BR$5+SUM(BS$5:BS102)+SUM(R$5:R102)-SUM(S$5:S102)+SUM(BV$5:BV102)</f>
        <v>311045.69349619321</v>
      </c>
      <c r="BS103" s="22">
        <f t="shared" si="107"/>
        <v>-366.45611509017158</v>
      </c>
      <c r="BT103" s="22">
        <f t="shared" si="108"/>
        <v>-1503.387518564934</v>
      </c>
      <c r="BU103" s="22">
        <f>IF(U103&lt;0,PMT(BQ103/12,Dane_kredytowe!F$13-SUM(AB$5:AB103)+1,BR103),0)</f>
        <v>-1869.8436336551056</v>
      </c>
      <c r="BV103" s="22">
        <f t="shared" si="101"/>
        <v>711.84072466658586</v>
      </c>
      <c r="BX103" s="23">
        <f>BX$5+SUM(BZ$5:BZ102)+SUM(R$5:R102)-SUM(S$5:S102)+SUM(CB$5,CB102)</f>
        <v>282629.43700821686</v>
      </c>
      <c r="BY103" s="22">
        <f t="shared" si="94"/>
        <v>-1366.0422788730482</v>
      </c>
      <c r="BZ103" s="22">
        <f t="shared" si="95"/>
        <v>-836.18176629649963</v>
      </c>
      <c r="CA103" s="22">
        <f t="shared" si="109"/>
        <v>-2202.2240451695479</v>
      </c>
      <c r="CB103" s="22">
        <f t="shared" si="110"/>
        <v>1044.2211361810282</v>
      </c>
      <c r="CD103" s="22">
        <f>CD$5+SUM(CE$5:CE102)+SUM(R$5:R102)-SUM(S$5:S102)-SUM(CF$5:CF102)</f>
        <v>309417.12909528142</v>
      </c>
      <c r="CE103" s="22">
        <f t="shared" si="102"/>
        <v>1366.0422788730482</v>
      </c>
      <c r="CF103" s="22">
        <f t="shared" si="96"/>
        <v>1158.0029089885197</v>
      </c>
      <c r="CG103" s="22">
        <f t="shared" si="103"/>
        <v>-208.03936988452847</v>
      </c>
      <c r="CI103" s="89">
        <f t="shared" si="97"/>
        <v>0.60770000000000002</v>
      </c>
      <c r="CJ103" s="22">
        <f t="shared" si="98"/>
        <v>-703.72</v>
      </c>
      <c r="CK103" s="15">
        <f t="shared" si="104"/>
        <v>0</v>
      </c>
      <c r="CM103" s="22">
        <f t="shared" si="105"/>
        <v>-28582.955037031625</v>
      </c>
      <c r="CN103" s="15">
        <f t="shared" si="111"/>
        <v>-98.373003585783849</v>
      </c>
    </row>
    <row r="104" spans="1:92">
      <c r="A104" s="25"/>
      <c r="B104" s="80">
        <v>40269</v>
      </c>
      <c r="C104" s="81">
        <f t="shared" si="72"/>
        <v>2.6997</v>
      </c>
      <c r="D104" s="82">
        <f t="shared" si="106"/>
        <v>2.780691</v>
      </c>
      <c r="E104" s="73">
        <f t="shared" si="54"/>
        <v>-418.1791589811765</v>
      </c>
      <c r="F104" s="19">
        <f t="shared" si="70"/>
        <v>-1162.8270237665267</v>
      </c>
      <c r="G104" s="19">
        <f t="shared" si="56"/>
        <v>-1318.6993198295647</v>
      </c>
      <c r="H104" s="19">
        <f t="shared" si="71"/>
        <v>-155.87229606303799</v>
      </c>
      <c r="I104" s="62"/>
      <c r="J104" s="15" t="str">
        <f t="shared" si="112"/>
        <v>Ze względu na spadek kursu CHF, rata jest korzystniejsza niż bez klauzuli indeksacyjnej</v>
      </c>
      <c r="K104" s="15">
        <f>IF(B104&lt;=Dane_kredytowe!F$9,0,K103+1)</f>
        <v>24</v>
      </c>
      <c r="L104" s="83">
        <f t="shared" si="73"/>
        <v>2.8999999999999998E-3</v>
      </c>
      <c r="M104" s="84">
        <f>L104+Dane_kredytowe!F$12</f>
        <v>3.2899999999999999E-2</v>
      </c>
      <c r="N104" s="79">
        <f>MAX(Dane_kredytowe!F$17+SUM(AA$5:AA103)-SUM(X$5:X104)+SUM(W$5:W104),0)</f>
        <v>91904.827083651733</v>
      </c>
      <c r="O104" s="85">
        <f>MAX(Dane_kredytowe!F$8+SUM(V$5:V103)-SUM(S$5:S104)+SUM(R$5:R103),0)</f>
        <v>289815.57392658264</v>
      </c>
      <c r="P104" s="67">
        <f t="shared" si="59"/>
        <v>360</v>
      </c>
      <c r="Q104" s="127" t="str">
        <f>IF(AND(K104&gt;0,K104&lt;=Dane_kredytowe!F$16),"tak","nie")</f>
        <v>nie</v>
      </c>
      <c r="R104" s="69"/>
      <c r="S104" s="86">
        <f>IF(Dane_kredytowe!F$19=B104,O103+V103,_xlfn.XLOOKUP(B104,Dane_kredytowe!M$9:M$18,Dane_kredytowe!N$9:N$18,0))</f>
        <v>0</v>
      </c>
      <c r="T104" s="71">
        <f t="shared" si="74"/>
        <v>-794.57769851538069</v>
      </c>
      <c r="U104" s="72">
        <f>IF(Q104="tak",T104,IF(P104-SUM(AB$5:AB104)+1&gt;0,IF(Dane_kredytowe!F$9&lt;B104,IF(SUM(AB$5:AB104)-Dane_kredytowe!F$16+1&gt;0,PMT(M104/12,P104+1-SUM(AB$5:AB104),O104),T104),0),0))</f>
        <v>-1318.6993198295647</v>
      </c>
      <c r="V104" s="72">
        <f t="shared" si="99"/>
        <v>-524.12162131418404</v>
      </c>
      <c r="W104" s="19" t="str">
        <f t="shared" si="100"/>
        <v xml:space="preserve"> </v>
      </c>
      <c r="X104" s="19">
        <f t="shared" si="113"/>
        <v>0</v>
      </c>
      <c r="Y104" s="73">
        <f t="shared" si="76"/>
        <v>-251.97240092101183</v>
      </c>
      <c r="Z104" s="19">
        <f>IF(P104-SUM(AB$5:AB104)+1&gt;0,IF(Dane_kredytowe!F$9&lt;B104,IF(SUM(AB$5:AB104)-Dane_kredytowe!F$16+1&gt;0,PMT(M104/12,P104+1-SUM(AB$5:AB104),N104),Y104),0),0)</f>
        <v>-418.1791589811765</v>
      </c>
      <c r="AA104" s="19">
        <f t="shared" si="68"/>
        <v>-166.20675806016467</v>
      </c>
      <c r="AB104" s="20">
        <f>IF(AND(Dane_kredytowe!F$9&lt;B104,SUM(AB$5:AB103)&lt;P103),1," ")</f>
        <v>1</v>
      </c>
      <c r="AD104" s="75">
        <f>IF(OR(B104&lt;Dane_kredytowe!F$15,Dane_kredytowe!F$15=""),-F104+S104,0)</f>
        <v>0</v>
      </c>
      <c r="AE104" s="75">
        <f t="shared" si="77"/>
        <v>418.1791589811765</v>
      </c>
      <c r="AG104" s="22">
        <f>Dane_kredytowe!F$17-SUM(AI$5:AI103)+SUM(W$42:W104)-SUM(X$42:X104)</f>
        <v>89056.48000000001</v>
      </c>
      <c r="AH104" s="22">
        <f t="shared" si="78"/>
        <v>244.16</v>
      </c>
      <c r="AI104" s="22">
        <f t="shared" si="79"/>
        <v>264.26</v>
      </c>
      <c r="AJ104" s="22">
        <f t="shared" si="61"/>
        <v>508.41999999999996</v>
      </c>
      <c r="AK104" s="22">
        <f t="shared" si="80"/>
        <v>1413.76</v>
      </c>
      <c r="AL104" s="22">
        <f>Dane_kredytowe!F$8-SUM(AN$5:AN103)+SUM(R$42:R103)-SUM(S$42:S104)</f>
        <v>280833.40999999997</v>
      </c>
      <c r="AM104" s="22">
        <f t="shared" si="81"/>
        <v>769.95</v>
      </c>
      <c r="AN104" s="22">
        <f t="shared" si="82"/>
        <v>833.33</v>
      </c>
      <c r="AO104" s="22">
        <f t="shared" si="62"/>
        <v>1603.2800000000002</v>
      </c>
      <c r="AP104" s="22">
        <f t="shared" si="63"/>
        <v>-189.52000000000021</v>
      </c>
      <c r="AR104" s="87">
        <f t="shared" si="83"/>
        <v>40269</v>
      </c>
      <c r="AS104" s="23">
        <f>AS$5+SUM(AV$5:AV103)-SUM(X$5:X104)+SUM(W$5:W104)</f>
        <v>134335.57704949597</v>
      </c>
      <c r="AT104" s="22">
        <f t="shared" si="84"/>
        <v>-368.30337374403479</v>
      </c>
      <c r="AU104" s="22">
        <f>IF(AB104=1,IF(Q104="tak",AT104,PMT(M104/12,P104+1-SUM(AB$5:AB104),AS104)),0)</f>
        <v>-611.24470187705788</v>
      </c>
      <c r="AV104" s="22">
        <f t="shared" si="64"/>
        <v>-242.94132813302309</v>
      </c>
      <c r="AW104" s="22">
        <f t="shared" si="85"/>
        <v>-1650.1773216574932</v>
      </c>
      <c r="AY104" s="23">
        <f>AY$5+SUM(BA$5:BA103)+SUM(W$5:W103)-SUM(X$5:X103)</f>
        <v>130172.06143784184</v>
      </c>
      <c r="AZ104" s="23">
        <f t="shared" si="86"/>
        <v>-368.30337374403479</v>
      </c>
      <c r="BA104" s="23">
        <f t="shared" si="87"/>
        <v>-386.27</v>
      </c>
      <c r="BB104" s="23">
        <f t="shared" si="65"/>
        <v>-754.57337374403482</v>
      </c>
      <c r="BC104" s="23">
        <f t="shared" si="88"/>
        <v>-2037.1217370967709</v>
      </c>
      <c r="BE104" s="88">
        <f t="shared" si="89"/>
        <v>3.9199999999999999E-2</v>
      </c>
      <c r="BF104" s="89">
        <f>BE104+Dane_kredytowe!F$12</f>
        <v>6.9199999999999998E-2</v>
      </c>
      <c r="BG104" s="23">
        <f>BG$5+SUM(BH$5:BH103)+SUM(R$5:R103)-SUM(S$5:S103)</f>
        <v>295029.37164839305</v>
      </c>
      <c r="BH104" s="22">
        <f t="shared" si="69"/>
        <v>-286.25864167550276</v>
      </c>
      <c r="BI104" s="22">
        <f t="shared" si="67"/>
        <v>-1701.3360431723997</v>
      </c>
      <c r="BJ104" s="22">
        <f>IF(U104&lt;0,PMT(BF104/12,Dane_kredytowe!F$13-SUM(AB$5:AB104)+1,BG104),0)</f>
        <v>-1987.5946848479025</v>
      </c>
      <c r="BL104" s="23">
        <f>BL$5+SUM(BN$5:BN103)+SUM(R$5:R103)-SUM(S$5:S103)</f>
        <v>280833.33333333331</v>
      </c>
      <c r="BM104" s="23">
        <f t="shared" si="90"/>
        <v>-1619.4722222222219</v>
      </c>
      <c r="BN104" s="23">
        <f t="shared" si="91"/>
        <v>-833.33333333333326</v>
      </c>
      <c r="BO104" s="23">
        <f t="shared" si="92"/>
        <v>-2452.8055555555552</v>
      </c>
      <c r="BQ104" s="89">
        <f t="shared" si="93"/>
        <v>5.5899999999999998E-2</v>
      </c>
      <c r="BR104" s="23">
        <f>BR$5+SUM(BS$5:BS103)+SUM(R$5:R103)-SUM(S$5:S103)+SUM(BV$5:BV103)</f>
        <v>311391.07810576964</v>
      </c>
      <c r="BS104" s="22">
        <f t="shared" si="107"/>
        <v>-382.88790127150173</v>
      </c>
      <c r="BT104" s="22">
        <f t="shared" si="108"/>
        <v>-1450.5634388427104</v>
      </c>
      <c r="BU104" s="22">
        <f>IF(U104&lt;0,PMT(BQ104/12,Dane_kredytowe!F$13-SUM(AB$5:AB104)+1,BR104),0)</f>
        <v>-1833.4513401142121</v>
      </c>
      <c r="BV104" s="22">
        <f t="shared" si="101"/>
        <v>670.62431634768541</v>
      </c>
      <c r="BX104" s="23">
        <f>BX$5+SUM(BZ$5:BZ103)+SUM(R$5:R103)-SUM(S$5:S103)+SUM(CB$5,CB103)</f>
        <v>281800.6042656902</v>
      </c>
      <c r="BY104" s="22">
        <f t="shared" si="94"/>
        <v>-1312.7211482043401</v>
      </c>
      <c r="BZ104" s="22">
        <f t="shared" si="95"/>
        <v>-836.20357348869493</v>
      </c>
      <c r="CA104" s="22">
        <f t="shared" si="109"/>
        <v>-2148.9247216930353</v>
      </c>
      <c r="CB104" s="22">
        <f t="shared" si="110"/>
        <v>986.09769792650854</v>
      </c>
      <c r="CD104" s="22">
        <f>CD$5+SUM(CE$5:CE103)+SUM(R$5:R103)-SUM(S$5:S103)-SUM(CF$5:CF103)</f>
        <v>309625.16846516595</v>
      </c>
      <c r="CE104" s="22">
        <f t="shared" si="102"/>
        <v>1312.7211482043401</v>
      </c>
      <c r="CF104" s="22">
        <f t="shared" si="96"/>
        <v>1162.8270237665267</v>
      </c>
      <c r="CG104" s="22">
        <f t="shared" si="103"/>
        <v>-149.89412443781339</v>
      </c>
      <c r="CI104" s="89">
        <f t="shared" si="97"/>
        <v>0.60129999999999995</v>
      </c>
      <c r="CJ104" s="22">
        <f t="shared" si="98"/>
        <v>-699.21</v>
      </c>
      <c r="CK104" s="15">
        <f t="shared" si="104"/>
        <v>0</v>
      </c>
      <c r="CM104" s="22">
        <f t="shared" si="105"/>
        <v>-29745.782060798152</v>
      </c>
      <c r="CN104" s="15">
        <f t="shared" si="111"/>
        <v>-97.169554731940636</v>
      </c>
    </row>
    <row r="105" spans="1:92">
      <c r="A105" s="25"/>
      <c r="B105" s="80">
        <v>40299</v>
      </c>
      <c r="C105" s="81">
        <f t="shared" si="72"/>
        <v>2.8504</v>
      </c>
      <c r="D105" s="82">
        <f t="shared" si="106"/>
        <v>2.9359120000000001</v>
      </c>
      <c r="E105" s="73">
        <f t="shared" si="54"/>
        <v>-418.17915898117644</v>
      </c>
      <c r="F105" s="19">
        <f t="shared" si="70"/>
        <v>-1227.7372110027438</v>
      </c>
      <c r="G105" s="19">
        <f t="shared" si="56"/>
        <v>-1318.6993198295645</v>
      </c>
      <c r="H105" s="19">
        <f t="shared" si="71"/>
        <v>-90.962108826820668</v>
      </c>
      <c r="I105" s="62"/>
      <c r="J105" s="15" t="str">
        <f t="shared" ref="J105:J136" si="114">IF(H105&lt;0,"Ze względu na spadek kursu CHF, rata jest korzystniejsza niż bez klauzuli indeksacyjnej"," ")</f>
        <v>Ze względu na spadek kursu CHF, rata jest korzystniejsza niż bez klauzuli indeksacyjnej</v>
      </c>
      <c r="K105" s="15">
        <f>IF(B105&lt;=Dane_kredytowe!F$9,0,K104+1)</f>
        <v>25</v>
      </c>
      <c r="L105" s="83">
        <f t="shared" si="73"/>
        <v>2.8999999999999998E-3</v>
      </c>
      <c r="M105" s="84">
        <f>L105+Dane_kredytowe!F$12</f>
        <v>3.2899999999999999E-2</v>
      </c>
      <c r="N105" s="79">
        <f>MAX(Dane_kredytowe!F$17+SUM(AA$5:AA104)-SUM(X$5:X105)+SUM(W$5:W105),0)</f>
        <v>91738.620325591561</v>
      </c>
      <c r="O105" s="85">
        <f>MAX(Dane_kredytowe!F$8+SUM(V$5:V104)-SUM(S$5:S105)+SUM(R$5:R104),0)</f>
        <v>289291.45230526844</v>
      </c>
      <c r="P105" s="67">
        <f t="shared" si="59"/>
        <v>360</v>
      </c>
      <c r="Q105" s="127" t="str">
        <f>IF(AND(K105&gt;0,K105&lt;=Dane_kredytowe!F$16),"tak","nie")</f>
        <v>nie</v>
      </c>
      <c r="R105" s="69"/>
      <c r="S105" s="86">
        <f>IF(Dane_kredytowe!F$19=B105,O104+V104,_xlfn.XLOOKUP(B105,Dane_kredytowe!M$9:M$18,Dane_kredytowe!N$9:N$18,0))</f>
        <v>0</v>
      </c>
      <c r="T105" s="71">
        <f t="shared" si="74"/>
        <v>-793.1407317369443</v>
      </c>
      <c r="U105" s="72">
        <f>IF(Q105="tak",T105,IF(P105-SUM(AB$5:AB105)+1&gt;0,IF(Dane_kredytowe!F$9&lt;B105,IF(SUM(AB$5:AB105)-Dane_kredytowe!F$16+1&gt;0,PMT(M105/12,P105+1-SUM(AB$5:AB105),O105),T105),0),0))</f>
        <v>-1318.6993198295645</v>
      </c>
      <c r="V105" s="72">
        <f t="shared" si="99"/>
        <v>-525.5585880926202</v>
      </c>
      <c r="W105" s="19" t="str">
        <f t="shared" si="100"/>
        <v xml:space="preserve"> </v>
      </c>
      <c r="X105" s="19">
        <f t="shared" si="113"/>
        <v>0</v>
      </c>
      <c r="Y105" s="73">
        <f t="shared" si="76"/>
        <v>-251.51671739266351</v>
      </c>
      <c r="Z105" s="19">
        <f>IF(P105-SUM(AB$5:AB105)+1&gt;0,IF(Dane_kredytowe!F$9&lt;B105,IF(SUM(AB$5:AB105)-Dane_kredytowe!F$16+1&gt;0,PMT(M105/12,P105+1-SUM(AB$5:AB105),N105),Y105),0),0)</f>
        <v>-418.17915898117644</v>
      </c>
      <c r="AA105" s="19">
        <f t="shared" si="68"/>
        <v>-166.66244158851293</v>
      </c>
      <c r="AB105" s="20">
        <f>IF(AND(Dane_kredytowe!F$9&lt;B105,SUM(AB$5:AB104)&lt;P104),1," ")</f>
        <v>1</v>
      </c>
      <c r="AD105" s="75">
        <f>IF(OR(B105&lt;Dane_kredytowe!F$15,Dane_kredytowe!F$15=""),-F105+S105,0)</f>
        <v>0</v>
      </c>
      <c r="AE105" s="75">
        <f t="shared" si="77"/>
        <v>418.17915898117644</v>
      </c>
      <c r="AG105" s="22">
        <f>Dane_kredytowe!F$17-SUM(AI$5:AI104)+SUM(W$42:W105)-SUM(X$42:X105)</f>
        <v>88792.22</v>
      </c>
      <c r="AH105" s="22">
        <f t="shared" si="78"/>
        <v>243.44</v>
      </c>
      <c r="AI105" s="22">
        <f t="shared" si="79"/>
        <v>264.26</v>
      </c>
      <c r="AJ105" s="22">
        <f t="shared" si="61"/>
        <v>507.7</v>
      </c>
      <c r="AK105" s="22">
        <f t="shared" si="80"/>
        <v>1490.56</v>
      </c>
      <c r="AL105" s="22">
        <f>Dane_kredytowe!F$8-SUM(AN$5:AN104)+SUM(R$42:R104)-SUM(S$42:S105)</f>
        <v>280000.08</v>
      </c>
      <c r="AM105" s="22">
        <f t="shared" si="81"/>
        <v>767.67</v>
      </c>
      <c r="AN105" s="22">
        <f t="shared" si="82"/>
        <v>833.33</v>
      </c>
      <c r="AO105" s="22">
        <f t="shared" si="62"/>
        <v>1601</v>
      </c>
      <c r="AP105" s="22">
        <f t="shared" si="63"/>
        <v>-110.44000000000005</v>
      </c>
      <c r="AR105" s="87">
        <f t="shared" si="83"/>
        <v>40299</v>
      </c>
      <c r="AS105" s="23">
        <f>AS$5+SUM(AV$5:AV104)-SUM(X$5:X105)+SUM(W$5:W105)</f>
        <v>134092.63572136295</v>
      </c>
      <c r="AT105" s="22">
        <f t="shared" si="84"/>
        <v>-367.63730960273671</v>
      </c>
      <c r="AU105" s="22">
        <f>IF(AB105=1,IF(Q105="tak",AT105,PMT(M105/12,P105+1-SUM(AB$5:AB105),AS105)),0)</f>
        <v>-611.24470187705788</v>
      </c>
      <c r="AV105" s="22">
        <f t="shared" si="64"/>
        <v>-243.60739227432117</v>
      </c>
      <c r="AW105" s="22">
        <f t="shared" si="85"/>
        <v>-1742.2918982303659</v>
      </c>
      <c r="AY105" s="23">
        <f>AY$5+SUM(BA$5:BA104)+SUM(W$5:W104)-SUM(X$5:X104)</f>
        <v>129785.79143784184</v>
      </c>
      <c r="AZ105" s="23">
        <f t="shared" si="86"/>
        <v>-367.63730960273671</v>
      </c>
      <c r="BA105" s="23">
        <f t="shared" si="87"/>
        <v>-386.27</v>
      </c>
      <c r="BB105" s="23">
        <f t="shared" si="65"/>
        <v>-753.90730960273663</v>
      </c>
      <c r="BC105" s="23">
        <f t="shared" si="88"/>
        <v>-2148.9373952916403</v>
      </c>
      <c r="BE105" s="88">
        <f t="shared" si="89"/>
        <v>3.85E-2</v>
      </c>
      <c r="BF105" s="89">
        <f>BE105+Dane_kredytowe!F$12</f>
        <v>6.8500000000000005E-2</v>
      </c>
      <c r="BG105" s="23">
        <f>BG$5+SUM(BH$5:BH104)+SUM(R$5:R104)-SUM(S$5:S104)</f>
        <v>294743.11300671753</v>
      </c>
      <c r="BH105" s="22">
        <f t="shared" si="69"/>
        <v>-291.57753629710419</v>
      </c>
      <c r="BI105" s="22">
        <f t="shared" si="67"/>
        <v>-1682.4919367466794</v>
      </c>
      <c r="BJ105" s="22">
        <f>IF(U105&lt;0,PMT(BF105/12,Dane_kredytowe!F$13-SUM(AB$5:AB105)+1,BG105),0)</f>
        <v>-1974.0694730437835</v>
      </c>
      <c r="BL105" s="23">
        <f>BL$5+SUM(BN$5:BN104)+SUM(R$5:R104)-SUM(S$5:S104)</f>
        <v>280000</v>
      </c>
      <c r="BM105" s="23">
        <f t="shared" si="90"/>
        <v>-1598.3333333333333</v>
      </c>
      <c r="BN105" s="23">
        <f t="shared" si="91"/>
        <v>-833.33333333333337</v>
      </c>
      <c r="BO105" s="23">
        <f t="shared" si="92"/>
        <v>-2431.6666666666665</v>
      </c>
      <c r="BQ105" s="89">
        <f t="shared" si="93"/>
        <v>5.5199999999999999E-2</v>
      </c>
      <c r="BR105" s="23">
        <f>BR$5+SUM(BS$5:BS104)+SUM(R$5:R104)-SUM(S$5:S104)+SUM(BV$5:BV104)</f>
        <v>311678.81452084583</v>
      </c>
      <c r="BS105" s="22">
        <f t="shared" si="107"/>
        <v>-390.21454176482121</v>
      </c>
      <c r="BT105" s="22">
        <f t="shared" si="108"/>
        <v>-1433.7225467958908</v>
      </c>
      <c r="BU105" s="22">
        <f>IF(U105&lt;0,PMT(BQ105/12,Dane_kredytowe!F$13-SUM(AB$5:AB105)+1,BR105),0)</f>
        <v>-1823.937088560712</v>
      </c>
      <c r="BV105" s="22">
        <f t="shared" si="101"/>
        <v>596.19987755796819</v>
      </c>
      <c r="BX105" s="23">
        <f>BX$5+SUM(BZ$5:BZ104)+SUM(R$5:R104)-SUM(S$5:S104)+SUM(CB$5,CB104)</f>
        <v>280906.27725394699</v>
      </c>
      <c r="BY105" s="22">
        <f t="shared" si="94"/>
        <v>-1292.1688753681563</v>
      </c>
      <c r="BZ105" s="22">
        <f t="shared" si="95"/>
        <v>-836.0305870653184</v>
      </c>
      <c r="CA105" s="22">
        <f t="shared" si="109"/>
        <v>-2128.1994624334748</v>
      </c>
      <c r="CB105" s="22">
        <f t="shared" si="110"/>
        <v>900.46225143073093</v>
      </c>
      <c r="CD105" s="22">
        <f>CD$5+SUM(CE$5:CE104)+SUM(R$5:R104)-SUM(S$5:S104)-SUM(CF$5:CF104)</f>
        <v>309775.06258960377</v>
      </c>
      <c r="CE105" s="22">
        <f t="shared" si="102"/>
        <v>1292.1688753681563</v>
      </c>
      <c r="CF105" s="22">
        <f t="shared" si="96"/>
        <v>1227.7372110027438</v>
      </c>
      <c r="CG105" s="22">
        <f t="shared" si="103"/>
        <v>-64.431664365412416</v>
      </c>
      <c r="CI105" s="89">
        <f t="shared" si="97"/>
        <v>0.59650000000000003</v>
      </c>
      <c r="CJ105" s="22">
        <f t="shared" si="98"/>
        <v>-732.35</v>
      </c>
      <c r="CK105" s="15">
        <f t="shared" si="104"/>
        <v>0</v>
      </c>
      <c r="CM105" s="22">
        <f t="shared" si="105"/>
        <v>-30973.519271800895</v>
      </c>
      <c r="CN105" s="15">
        <f t="shared" si="111"/>
        <v>-99.373374330361216</v>
      </c>
    </row>
    <row r="106" spans="1:92">
      <c r="A106" s="25"/>
      <c r="B106" s="80">
        <v>40330</v>
      </c>
      <c r="C106" s="81">
        <f t="shared" si="72"/>
        <v>2.9777999999999998</v>
      </c>
      <c r="D106" s="82">
        <f t="shared" si="106"/>
        <v>3.0671339999999998</v>
      </c>
      <c r="E106" s="73">
        <f t="shared" ref="E106:E162" si="115">Z106</f>
        <v>-409.30242559822841</v>
      </c>
      <c r="F106" s="19">
        <f t="shared" si="70"/>
        <v>-1255.3853858347966</v>
      </c>
      <c r="G106" s="19">
        <f t="shared" ref="G106:G167" si="116">U106</f>
        <v>-1290.7071494332183</v>
      </c>
      <c r="H106" s="19">
        <f t="shared" si="71"/>
        <v>-35.32176359842174</v>
      </c>
      <c r="I106" s="62"/>
      <c r="J106" s="15" t="str">
        <f t="shared" si="114"/>
        <v>Ze względu na spadek kursu CHF, rata jest korzystniejsza niż bez klauzuli indeksacyjnej</v>
      </c>
      <c r="K106" s="15">
        <f>IF(B106&lt;=Dane_kredytowe!F$9,0,K105+1)</f>
        <v>26</v>
      </c>
      <c r="L106" s="83">
        <f t="shared" si="73"/>
        <v>1.1000000000000001E-3</v>
      </c>
      <c r="M106" s="84">
        <f>L106+Dane_kredytowe!F$12</f>
        <v>3.1099999999999999E-2</v>
      </c>
      <c r="N106" s="79">
        <f>MAX(Dane_kredytowe!F$17+SUM(AA$5:AA105)-SUM(X$5:X106)+SUM(W$5:W106),0)</f>
        <v>91571.957884003044</v>
      </c>
      <c r="O106" s="85">
        <f>MAX(Dane_kredytowe!F$8+SUM(V$5:V105)-SUM(S$5:S106)+SUM(R$5:R105),0)</f>
        <v>288765.89371717582</v>
      </c>
      <c r="P106" s="67">
        <f t="shared" si="59"/>
        <v>360</v>
      </c>
      <c r="Q106" s="127" t="str">
        <f>IF(AND(K106&gt;0,K106&lt;=Dane_kredytowe!F$16),"tak","nie")</f>
        <v>nie</v>
      </c>
      <c r="R106" s="69"/>
      <c r="S106" s="86">
        <f>IF(Dane_kredytowe!F$19=B106,O105+V105,_xlfn.XLOOKUP(B106,Dane_kredytowe!M$9:M$18,Dane_kredytowe!N$9:N$18,0))</f>
        <v>0</v>
      </c>
      <c r="T106" s="71">
        <f t="shared" si="74"/>
        <v>-748.38494121701399</v>
      </c>
      <c r="U106" s="72">
        <f>IF(Q106="tak",T106,IF(P106-SUM(AB$5:AB106)+1&gt;0,IF(Dane_kredytowe!F$9&lt;B106,IF(SUM(AB$5:AB106)-Dane_kredytowe!F$16+1&gt;0,PMT(M106/12,P106+1-SUM(AB$5:AB106),O106),T106),0),0))</f>
        <v>-1290.7071494332183</v>
      </c>
      <c r="V106" s="72">
        <f t="shared" si="99"/>
        <v>-542.32220821620433</v>
      </c>
      <c r="W106" s="19" t="str">
        <f t="shared" si="100"/>
        <v xml:space="preserve"> </v>
      </c>
      <c r="X106" s="19">
        <f t="shared" si="113"/>
        <v>0</v>
      </c>
      <c r="Y106" s="73">
        <f t="shared" si="76"/>
        <v>-237.32399084937455</v>
      </c>
      <c r="Z106" s="19">
        <f>IF(P106-SUM(AB$5:AB106)+1&gt;0,IF(Dane_kredytowe!F$9&lt;B106,IF(SUM(AB$5:AB106)-Dane_kredytowe!F$16+1&gt;0,PMT(M106/12,P106+1-SUM(AB$5:AB106),N106),Y106),0),0)</f>
        <v>-409.30242559822841</v>
      </c>
      <c r="AA106" s="19">
        <f t="shared" si="68"/>
        <v>-171.97843474885386</v>
      </c>
      <c r="AB106" s="20">
        <f>IF(AND(Dane_kredytowe!F$9&lt;B106,SUM(AB$5:AB105)&lt;P105),1," ")</f>
        <v>1</v>
      </c>
      <c r="AD106" s="75">
        <f>IF(OR(B106&lt;Dane_kredytowe!F$15,Dane_kredytowe!F$15=""),-F106+S106,0)</f>
        <v>0</v>
      </c>
      <c r="AE106" s="75">
        <f t="shared" si="77"/>
        <v>409.30242559822841</v>
      </c>
      <c r="AG106" s="22">
        <f>Dane_kredytowe!F$17-SUM(AI$5:AI105)+SUM(W$42:W106)-SUM(X$42:X106)</f>
        <v>88527.96</v>
      </c>
      <c r="AH106" s="22">
        <f t="shared" si="78"/>
        <v>229.43</v>
      </c>
      <c r="AI106" s="22">
        <f t="shared" si="79"/>
        <v>264.26</v>
      </c>
      <c r="AJ106" s="22">
        <f t="shared" si="61"/>
        <v>493.69</v>
      </c>
      <c r="AK106" s="22">
        <f t="shared" si="80"/>
        <v>1514.21</v>
      </c>
      <c r="AL106" s="22">
        <f>Dane_kredytowe!F$8-SUM(AN$5:AN105)+SUM(R$42:R105)-SUM(S$42:S106)</f>
        <v>279166.75</v>
      </c>
      <c r="AM106" s="22">
        <f t="shared" si="81"/>
        <v>723.51</v>
      </c>
      <c r="AN106" s="22">
        <f t="shared" si="82"/>
        <v>833.33</v>
      </c>
      <c r="AO106" s="22">
        <f t="shared" ref="AO106:AO169" si="117">AN106+AM106</f>
        <v>1556.8400000000001</v>
      </c>
      <c r="AP106" s="22">
        <f t="shared" ref="AP106:AP169" si="118">AK106-AO106</f>
        <v>-42.630000000000109</v>
      </c>
      <c r="AR106" s="87">
        <f t="shared" si="83"/>
        <v>40330</v>
      </c>
      <c r="AS106" s="23">
        <f>AS$5+SUM(AV$5:AV105)-SUM(X$5:X106)+SUM(W$5:W106)</f>
        <v>133849.02832908864</v>
      </c>
      <c r="AT106" s="22">
        <f t="shared" si="84"/>
        <v>-346.89206508622141</v>
      </c>
      <c r="AU106" s="22">
        <f>IF(AB106=1,IF(Q106="tak",AT106,PMT(M106/12,P106+1-SUM(AB$5:AB106),AS106)),0)</f>
        <v>-598.2697457278291</v>
      </c>
      <c r="AV106" s="22">
        <f t="shared" ref="AV106:AV169" si="119">AU106-AT106</f>
        <v>-251.3776806416077</v>
      </c>
      <c r="AW106" s="22">
        <f t="shared" si="85"/>
        <v>-1781.5276488283293</v>
      </c>
      <c r="AY106" s="23">
        <f>AY$5+SUM(BA$5:BA105)+SUM(W$5:W105)-SUM(X$5:X105)</f>
        <v>129399.52143784185</v>
      </c>
      <c r="AZ106" s="23">
        <f t="shared" si="86"/>
        <v>-346.89206508622141</v>
      </c>
      <c r="BA106" s="23">
        <f t="shared" si="87"/>
        <v>-386.27</v>
      </c>
      <c r="BB106" s="23">
        <f t="shared" ref="BB106:BB111" si="120">BA106+AZ106</f>
        <v>-733.16206508622145</v>
      </c>
      <c r="BC106" s="23">
        <f t="shared" si="88"/>
        <v>-2183.20999741375</v>
      </c>
      <c r="BE106" s="88">
        <f t="shared" si="89"/>
        <v>3.8600000000000002E-2</v>
      </c>
      <c r="BF106" s="89">
        <f>BE106+Dane_kredytowe!F$12</f>
        <v>6.8599999999999994E-2</v>
      </c>
      <c r="BG106" s="23">
        <f>BG$5+SUM(BH$5:BH105)+SUM(R$5:R105)-SUM(S$5:S105)</f>
        <v>294451.53547042044</v>
      </c>
      <c r="BH106" s="22">
        <f t="shared" si="69"/>
        <v>-292.71444870394043</v>
      </c>
      <c r="BI106" s="22">
        <f t="shared" ref="BI106:BI169" si="121">IF(BJ106&lt;0,-BG106*BF106/12,0)</f>
        <v>-1683.2812777725701</v>
      </c>
      <c r="BJ106" s="22">
        <f>IF(U106&lt;0,PMT(BF106/12,Dane_kredytowe!F$13-SUM(AB$5:AB106)+1,BG106),0)</f>
        <v>-1975.9957264765105</v>
      </c>
      <c r="BL106" s="23">
        <f>BL$5+SUM(BN$5:BN105)+SUM(R$5:R105)-SUM(S$5:S105)</f>
        <v>279166.66666666669</v>
      </c>
      <c r="BM106" s="23">
        <f t="shared" si="90"/>
        <v>-1595.9027777777776</v>
      </c>
      <c r="BN106" s="23">
        <f t="shared" si="91"/>
        <v>-833.33333333333337</v>
      </c>
      <c r="BO106" s="23">
        <f t="shared" si="92"/>
        <v>-2429.2361111111109</v>
      </c>
      <c r="BQ106" s="89">
        <f t="shared" si="93"/>
        <v>5.5300000000000002E-2</v>
      </c>
      <c r="BR106" s="23">
        <f>BR$5+SUM(BS$5:BS105)+SUM(R$5:R105)-SUM(S$5:S105)+SUM(BV$5:BV105)</f>
        <v>311884.79985663894</v>
      </c>
      <c r="BS106" s="22">
        <f t="shared" si="107"/>
        <v>-392.08209864645414</v>
      </c>
      <c r="BT106" s="22">
        <f t="shared" si="108"/>
        <v>-1437.2691193393446</v>
      </c>
      <c r="BU106" s="22">
        <f>IF(U106&lt;0,PMT(BQ106/12,Dane_kredytowe!F$13-SUM(AB$5:AB106)+1,BR106),0)</f>
        <v>-1829.3512179857987</v>
      </c>
      <c r="BV106" s="22">
        <f t="shared" si="101"/>
        <v>573.96583215100213</v>
      </c>
      <c r="BX106" s="23">
        <f>BX$5+SUM(BZ$5:BZ105)+SUM(R$5:R105)-SUM(S$5:S105)+SUM(CB$5,CB105)</f>
        <v>279984.61122038588</v>
      </c>
      <c r="BY106" s="22">
        <f t="shared" si="94"/>
        <v>-1290.2624167072784</v>
      </c>
      <c r="BZ106" s="22">
        <f t="shared" si="95"/>
        <v>-835.77495886682357</v>
      </c>
      <c r="CA106" s="22">
        <f t="shared" si="109"/>
        <v>-2126.037375574102</v>
      </c>
      <c r="CB106" s="22">
        <f t="shared" si="110"/>
        <v>870.65198973930546</v>
      </c>
      <c r="CD106" s="22">
        <f>CD$5+SUM(CE$5:CE105)+SUM(R$5:R105)-SUM(S$5:S105)-SUM(CF$5:CF105)</f>
        <v>309839.49425396923</v>
      </c>
      <c r="CE106" s="22">
        <f t="shared" si="102"/>
        <v>1290.2624167072784</v>
      </c>
      <c r="CF106" s="22">
        <f t="shared" si="96"/>
        <v>1255.3853858347966</v>
      </c>
      <c r="CG106" s="22">
        <f t="shared" si="103"/>
        <v>-34.877030872481782</v>
      </c>
      <c r="CI106" s="89">
        <f t="shared" si="97"/>
        <v>0.5917</v>
      </c>
      <c r="CJ106" s="22">
        <f t="shared" si="98"/>
        <v>-742.81</v>
      </c>
      <c r="CK106" s="15">
        <f t="shared" si="104"/>
        <v>0</v>
      </c>
      <c r="CM106" s="22">
        <f t="shared" si="105"/>
        <v>-32228.904657635692</v>
      </c>
      <c r="CN106" s="15">
        <f t="shared" si="111"/>
        <v>-103.66964331539481</v>
      </c>
    </row>
    <row r="107" spans="1:92">
      <c r="A107" s="25"/>
      <c r="B107" s="80">
        <v>40360</v>
      </c>
      <c r="C107" s="81">
        <f t="shared" si="72"/>
        <v>3.0308000000000002</v>
      </c>
      <c r="D107" s="82">
        <f t="shared" si="106"/>
        <v>3.1217240000000004</v>
      </c>
      <c r="E107" s="73">
        <f t="shared" si="115"/>
        <v>-409.30242559822847</v>
      </c>
      <c r="F107" s="19">
        <f t="shared" si="70"/>
        <v>-1277.7292052482044</v>
      </c>
      <c r="G107" s="19">
        <f t="shared" si="116"/>
        <v>-1290.7071494332185</v>
      </c>
      <c r="H107" s="19">
        <f t="shared" si="71"/>
        <v>-12.977944185014167</v>
      </c>
      <c r="I107" s="62"/>
      <c r="J107" s="15" t="str">
        <f t="shared" si="114"/>
        <v>Ze względu na spadek kursu CHF, rata jest korzystniejsza niż bez klauzuli indeksacyjnej</v>
      </c>
      <c r="K107" s="15">
        <f>IF(B107&lt;=Dane_kredytowe!F$9,0,K106+1)</f>
        <v>27</v>
      </c>
      <c r="L107" s="83">
        <f t="shared" si="73"/>
        <v>1.1000000000000001E-3</v>
      </c>
      <c r="M107" s="84">
        <f>L107+Dane_kredytowe!F$12</f>
        <v>3.1099999999999999E-2</v>
      </c>
      <c r="N107" s="79">
        <f>MAX(Dane_kredytowe!F$17+SUM(AA$5:AA106)-SUM(X$5:X107)+SUM(W$5:W107),0)</f>
        <v>91399.979449254199</v>
      </c>
      <c r="O107" s="85">
        <f>MAX(Dane_kredytowe!F$8+SUM(V$5:V106)-SUM(S$5:S107)+SUM(R$5:R106),0)</f>
        <v>288223.57150895963</v>
      </c>
      <c r="P107" s="67">
        <f t="shared" ref="P107:P170" si="122">P106</f>
        <v>360</v>
      </c>
      <c r="Q107" s="127" t="str">
        <f>IF(AND(K107&gt;0,K107&lt;=Dane_kredytowe!F$16),"tak","nie")</f>
        <v>nie</v>
      </c>
      <c r="R107" s="69"/>
      <c r="S107" s="86">
        <f>IF(Dane_kredytowe!F$19=B107,O106+V106,_xlfn.XLOOKUP(B107,Dane_kredytowe!M$9:M$18,Dane_kredytowe!N$9:N$18,0))</f>
        <v>0</v>
      </c>
      <c r="T107" s="71">
        <f t="shared" si="74"/>
        <v>-746.97942282738711</v>
      </c>
      <c r="U107" s="72">
        <f>IF(Q107="tak",T107,IF(P107-SUM(AB$5:AB107)+1&gt;0,IF(Dane_kredytowe!F$9&lt;B107,IF(SUM(AB$5:AB107)-Dane_kredytowe!F$16+1&gt;0,PMT(M107/12,P107+1-SUM(AB$5:AB107),O107),T107),0),0))</f>
        <v>-1290.7071494332185</v>
      </c>
      <c r="V107" s="72">
        <f t="shared" si="99"/>
        <v>-543.72772660583144</v>
      </c>
      <c r="W107" s="19" t="str">
        <f t="shared" si="100"/>
        <v xml:space="preserve"> </v>
      </c>
      <c r="X107" s="19">
        <f t="shared" si="113"/>
        <v>0</v>
      </c>
      <c r="Y107" s="73">
        <f t="shared" si="76"/>
        <v>-236.87828007265045</v>
      </c>
      <c r="Z107" s="19">
        <f>IF(P107-SUM(AB$5:AB107)+1&gt;0,IF(Dane_kredytowe!F$9&lt;B107,IF(SUM(AB$5:AB107)-Dane_kredytowe!F$16+1&gt;0,PMT(M107/12,P107+1-SUM(AB$5:AB107),N107),Y107),0),0)</f>
        <v>-409.30242559822847</v>
      </c>
      <c r="AA107" s="19">
        <f t="shared" si="68"/>
        <v>-172.42414552557801</v>
      </c>
      <c r="AB107" s="20">
        <f>IF(AND(Dane_kredytowe!F$9&lt;B107,SUM(AB$5:AB106)&lt;P106),1," ")</f>
        <v>1</v>
      </c>
      <c r="AD107" s="75">
        <f>IF(OR(B107&lt;Dane_kredytowe!F$15,Dane_kredytowe!F$15=""),-F107+S107,0)</f>
        <v>0</v>
      </c>
      <c r="AE107" s="75">
        <f t="shared" si="77"/>
        <v>409.30242559822847</v>
      </c>
      <c r="AG107" s="22">
        <f>Dane_kredytowe!F$17-SUM(AI$5:AI106)+SUM(W$42:W107)-SUM(X$42:X107)</f>
        <v>88263.7</v>
      </c>
      <c r="AH107" s="22">
        <f t="shared" si="78"/>
        <v>228.75</v>
      </c>
      <c r="AI107" s="22">
        <f t="shared" si="79"/>
        <v>264.26</v>
      </c>
      <c r="AJ107" s="22">
        <f t="shared" ref="AJ107:AJ170" si="123">AI107+AH107</f>
        <v>493.01</v>
      </c>
      <c r="AK107" s="22">
        <f t="shared" si="80"/>
        <v>1539.04</v>
      </c>
      <c r="AL107" s="22">
        <f>Dane_kredytowe!F$8-SUM(AN$5:AN106)+SUM(R$42:R106)-SUM(S$42:S107)</f>
        <v>278333.42</v>
      </c>
      <c r="AM107" s="22">
        <f t="shared" si="81"/>
        <v>721.35</v>
      </c>
      <c r="AN107" s="22">
        <f t="shared" si="82"/>
        <v>833.33</v>
      </c>
      <c r="AO107" s="22">
        <f t="shared" si="117"/>
        <v>1554.68</v>
      </c>
      <c r="AP107" s="22">
        <f t="shared" si="118"/>
        <v>-15.6400000000001</v>
      </c>
      <c r="AR107" s="87">
        <f t="shared" si="83"/>
        <v>40360</v>
      </c>
      <c r="AS107" s="23">
        <f>AS$5+SUM(AV$5:AV106)-SUM(X$5:X107)+SUM(W$5:W107)</f>
        <v>133597.65064844702</v>
      </c>
      <c r="AT107" s="22">
        <f t="shared" si="84"/>
        <v>-346.24057793055846</v>
      </c>
      <c r="AU107" s="22">
        <f>IF(AB107=1,IF(Q107="tak",AT107,PMT(M107/12,P107+1-SUM(AB$5:AB107),AS107)),0)</f>
        <v>-598.26974572782899</v>
      </c>
      <c r="AV107" s="22">
        <f t="shared" si="119"/>
        <v>-252.02916779727053</v>
      </c>
      <c r="AW107" s="22">
        <f t="shared" si="85"/>
        <v>-1813.2359453519041</v>
      </c>
      <c r="AY107" s="23">
        <f>AY$5+SUM(BA$5:BA106)+SUM(W$5:W106)-SUM(X$5:X106)</f>
        <v>129013.25143784184</v>
      </c>
      <c r="AZ107" s="23">
        <f t="shared" si="86"/>
        <v>-346.24057793055846</v>
      </c>
      <c r="BA107" s="23">
        <f t="shared" si="87"/>
        <v>-386.27</v>
      </c>
      <c r="BB107" s="23">
        <f t="shared" si="120"/>
        <v>-732.51057793055838</v>
      </c>
      <c r="BC107" s="23">
        <f t="shared" si="88"/>
        <v>-2220.0930595919363</v>
      </c>
      <c r="BE107" s="88">
        <f t="shared" si="89"/>
        <v>3.8399999999999997E-2</v>
      </c>
      <c r="BF107" s="89">
        <f>BE107+Dane_kredytowe!F$12</f>
        <v>6.8399999999999989E-2</v>
      </c>
      <c r="BG107" s="23">
        <f>BG$5+SUM(BH$5:BH106)+SUM(R$5:R106)-SUM(S$5:S106)</f>
        <v>294158.82102171646</v>
      </c>
      <c r="BH107" s="22">
        <f t="shared" si="69"/>
        <v>-295.44581467026273</v>
      </c>
      <c r="BI107" s="22">
        <f t="shared" si="121"/>
        <v>-1676.7052798237835</v>
      </c>
      <c r="BJ107" s="22">
        <f>IF(U107&lt;0,PMT(BF107/12,Dane_kredytowe!F$13-SUM(AB$5:AB107)+1,BG107),0)</f>
        <v>-1972.1510944940462</v>
      </c>
      <c r="BL107" s="23">
        <f>BL$5+SUM(BN$5:BN106)+SUM(R$5:R106)-SUM(S$5:S106)</f>
        <v>278333.33333333331</v>
      </c>
      <c r="BM107" s="23">
        <f t="shared" si="90"/>
        <v>-1586.4999999999998</v>
      </c>
      <c r="BN107" s="23">
        <f t="shared" si="91"/>
        <v>-833.33333333333326</v>
      </c>
      <c r="BO107" s="23">
        <f t="shared" si="92"/>
        <v>-2419.833333333333</v>
      </c>
      <c r="BQ107" s="89">
        <f t="shared" si="93"/>
        <v>5.5099999999999996E-2</v>
      </c>
      <c r="BR107" s="23">
        <f>BR$5+SUM(BS$5:BS106)+SUM(R$5:R106)-SUM(S$5:S106)+SUM(BV$5:BV106)</f>
        <v>312066.68359014345</v>
      </c>
      <c r="BS107" s="22">
        <f t="shared" si="107"/>
        <v>-395.97607615952802</v>
      </c>
      <c r="BT107" s="22">
        <f t="shared" si="108"/>
        <v>-1432.9061888180752</v>
      </c>
      <c r="BU107" s="22">
        <f>IF(U107&lt;0,PMT(BQ107/12,Dane_kredytowe!F$13-SUM(AB$5:AB107)+1,BR107),0)</f>
        <v>-1828.8822649776032</v>
      </c>
      <c r="BV107" s="22">
        <f t="shared" si="101"/>
        <v>551.15305972939882</v>
      </c>
      <c r="BX107" s="23">
        <f>BX$5+SUM(BZ$5:BZ106)+SUM(R$5:R106)-SUM(S$5:S106)+SUM(CB$5,CB106)</f>
        <v>279119.02599982766</v>
      </c>
      <c r="BY107" s="22">
        <f t="shared" si="94"/>
        <v>-1281.6215277158751</v>
      </c>
      <c r="BZ107" s="22">
        <f t="shared" si="95"/>
        <v>-835.6857065863104</v>
      </c>
      <c r="CA107" s="22">
        <f t="shared" si="109"/>
        <v>-2117.3072343021854</v>
      </c>
      <c r="CB107" s="22">
        <f t="shared" si="110"/>
        <v>839.57802905398103</v>
      </c>
      <c r="CD107" s="22">
        <f>CD$5+SUM(CE$5:CE106)+SUM(R$5:R106)-SUM(S$5:S106)-SUM(CF$5:CF106)</f>
        <v>309874.37128484168</v>
      </c>
      <c r="CE107" s="22">
        <f t="shared" si="102"/>
        <v>1281.6215277158751</v>
      </c>
      <c r="CF107" s="22">
        <f t="shared" si="96"/>
        <v>1277.7292052482044</v>
      </c>
      <c r="CG107" s="22">
        <f t="shared" si="103"/>
        <v>-3.8923224676707378</v>
      </c>
      <c r="CI107" s="89">
        <f t="shared" si="97"/>
        <v>0.59489999999999998</v>
      </c>
      <c r="CJ107" s="22">
        <f t="shared" si="98"/>
        <v>-760.12</v>
      </c>
      <c r="CK107" s="15">
        <f t="shared" si="104"/>
        <v>0</v>
      </c>
      <c r="CM107" s="22">
        <f t="shared" si="105"/>
        <v>-33506.6338628839</v>
      </c>
      <c r="CN107" s="15">
        <f t="shared" si="111"/>
        <v>-107.22122836122848</v>
      </c>
    </row>
    <row r="108" spans="1:92">
      <c r="A108" s="25"/>
      <c r="B108" s="80">
        <v>40391</v>
      </c>
      <c r="C108" s="81">
        <f t="shared" si="72"/>
        <v>2.9725000000000001</v>
      </c>
      <c r="D108" s="82">
        <f t="shared" si="106"/>
        <v>3.0616750000000001</v>
      </c>
      <c r="E108" s="73">
        <f t="shared" si="115"/>
        <v>-409.30242559822847</v>
      </c>
      <c r="F108" s="19">
        <f t="shared" si="70"/>
        <v>-1253.1510038934562</v>
      </c>
      <c r="G108" s="19">
        <f t="shared" si="116"/>
        <v>-1290.7071494332183</v>
      </c>
      <c r="H108" s="19">
        <f t="shared" si="71"/>
        <v>-37.556145539762156</v>
      </c>
      <c r="I108" s="62"/>
      <c r="J108" s="15" t="str">
        <f t="shared" si="114"/>
        <v>Ze względu na spadek kursu CHF, rata jest korzystniejsza niż bez klauzuli indeksacyjnej</v>
      </c>
      <c r="K108" s="15">
        <f>IF(B108&lt;=Dane_kredytowe!F$9,0,K107+1)</f>
        <v>28</v>
      </c>
      <c r="L108" s="83">
        <f t="shared" si="73"/>
        <v>1.1000000000000001E-3</v>
      </c>
      <c r="M108" s="84">
        <f>L108+Dane_kredytowe!F$12</f>
        <v>3.1099999999999999E-2</v>
      </c>
      <c r="N108" s="79">
        <f>MAX(Dane_kredytowe!F$17+SUM(AA$5:AA107)-SUM(X$5:X108)+SUM(W$5:W108),0)</f>
        <v>91227.555303728615</v>
      </c>
      <c r="O108" s="85">
        <f>MAX(Dane_kredytowe!F$8+SUM(V$5:V107)-SUM(S$5:S108)+SUM(R$5:R107),0)</f>
        <v>287679.8437823538</v>
      </c>
      <c r="P108" s="67">
        <f t="shared" si="122"/>
        <v>360</v>
      </c>
      <c r="Q108" s="127" t="str">
        <f>IF(AND(K108&gt;0,K108&lt;=Dane_kredytowe!F$16),"tak","nie")</f>
        <v>nie</v>
      </c>
      <c r="R108" s="69"/>
      <c r="S108" s="86">
        <f>IF(Dane_kredytowe!F$19=B108,O107+V107,_xlfn.XLOOKUP(B108,Dane_kredytowe!M$9:M$18,Dane_kredytowe!N$9:N$18,0))</f>
        <v>0</v>
      </c>
      <c r="T108" s="71">
        <f t="shared" si="74"/>
        <v>-745.57026180260027</v>
      </c>
      <c r="U108" s="72">
        <f>IF(Q108="tak",T108,IF(P108-SUM(AB$5:AB108)+1&gt;0,IF(Dane_kredytowe!F$9&lt;B108,IF(SUM(AB$5:AB108)-Dane_kredytowe!F$16+1&gt;0,PMT(M108/12,P108+1-SUM(AB$5:AB108),O108),T108),0),0))</f>
        <v>-1290.7071494332183</v>
      </c>
      <c r="V108" s="72">
        <f t="shared" si="99"/>
        <v>-545.13688763061805</v>
      </c>
      <c r="W108" s="19" t="str">
        <f t="shared" si="100"/>
        <v xml:space="preserve"> </v>
      </c>
      <c r="X108" s="19">
        <f t="shared" si="113"/>
        <v>0</v>
      </c>
      <c r="Y108" s="73">
        <f t="shared" si="76"/>
        <v>-236.43141416216335</v>
      </c>
      <c r="Z108" s="19">
        <f>IF(P108-SUM(AB$5:AB108)+1&gt;0,IF(Dane_kredytowe!F$9&lt;B108,IF(SUM(AB$5:AB108)-Dane_kredytowe!F$16+1&gt;0,PMT(M108/12,P108+1-SUM(AB$5:AB108),N108),Y108),0),0)</f>
        <v>-409.30242559822847</v>
      </c>
      <c r="AA108" s="19">
        <f t="shared" si="68"/>
        <v>-172.87101143606512</v>
      </c>
      <c r="AB108" s="20">
        <f>IF(AND(Dane_kredytowe!F$9&lt;B108,SUM(AB$5:AB107)&lt;P107),1," ")</f>
        <v>1</v>
      </c>
      <c r="AD108" s="75">
        <f>IF(OR(B108&lt;Dane_kredytowe!F$15,Dane_kredytowe!F$15=""),-F108+S108,0)</f>
        <v>0</v>
      </c>
      <c r="AE108" s="75">
        <f t="shared" si="77"/>
        <v>409.30242559822847</v>
      </c>
      <c r="AG108" s="22">
        <f>Dane_kredytowe!F$17-SUM(AI$5:AI107)+SUM(W$42:W108)-SUM(X$42:X108)</f>
        <v>87999.44</v>
      </c>
      <c r="AH108" s="22">
        <f t="shared" si="78"/>
        <v>228.07</v>
      </c>
      <c r="AI108" s="22">
        <f t="shared" si="79"/>
        <v>264.26</v>
      </c>
      <c r="AJ108" s="22">
        <f t="shared" si="123"/>
        <v>492.33</v>
      </c>
      <c r="AK108" s="22">
        <f t="shared" si="80"/>
        <v>1507.35</v>
      </c>
      <c r="AL108" s="22">
        <f>Dane_kredytowe!F$8-SUM(AN$5:AN107)+SUM(R$42:R107)-SUM(S$42:S108)</f>
        <v>277500.08999999997</v>
      </c>
      <c r="AM108" s="22">
        <f t="shared" si="81"/>
        <v>719.19</v>
      </c>
      <c r="AN108" s="22">
        <f t="shared" si="82"/>
        <v>833.33</v>
      </c>
      <c r="AO108" s="22">
        <f t="shared" si="117"/>
        <v>1552.52</v>
      </c>
      <c r="AP108" s="22">
        <f t="shared" si="118"/>
        <v>-45.170000000000073</v>
      </c>
      <c r="AR108" s="87">
        <f t="shared" si="83"/>
        <v>40391</v>
      </c>
      <c r="AS108" s="23">
        <f>AS$5+SUM(AV$5:AV107)-SUM(X$5:X108)+SUM(W$5:W108)</f>
        <v>133345.62148064974</v>
      </c>
      <c r="AT108" s="22">
        <f t="shared" si="84"/>
        <v>-345.58740233735057</v>
      </c>
      <c r="AU108" s="22">
        <f>IF(AB108=1,IF(Q108="tak",AT108,PMT(M108/12,P108+1-SUM(AB$5:AB108),AS108)),0)</f>
        <v>-598.26974572782899</v>
      </c>
      <c r="AV108" s="22">
        <f t="shared" si="119"/>
        <v>-252.68234339047842</v>
      </c>
      <c r="AW108" s="22">
        <f t="shared" si="85"/>
        <v>-1778.3568191759719</v>
      </c>
      <c r="AY108" s="23">
        <f>AY$5+SUM(BA$5:BA107)+SUM(W$5:W107)-SUM(X$5:X107)</f>
        <v>128626.98143784184</v>
      </c>
      <c r="AZ108" s="23">
        <f t="shared" si="86"/>
        <v>-345.58740233735057</v>
      </c>
      <c r="BA108" s="23">
        <f t="shared" si="87"/>
        <v>-386.27</v>
      </c>
      <c r="BB108" s="23">
        <f t="shared" si="120"/>
        <v>-731.85740233735055</v>
      </c>
      <c r="BC108" s="23">
        <f t="shared" si="88"/>
        <v>-2175.4461284477748</v>
      </c>
      <c r="BE108" s="88">
        <f t="shared" si="89"/>
        <v>3.8100000000000002E-2</v>
      </c>
      <c r="BF108" s="89">
        <f>BE108+Dane_kredytowe!F$12</f>
        <v>6.8099999999999994E-2</v>
      </c>
      <c r="BG108" s="23">
        <f>BG$5+SUM(BH$5:BH107)+SUM(R$5:R107)-SUM(S$5:S107)</f>
        <v>293863.37520704622</v>
      </c>
      <c r="BH108" s="22">
        <f t="shared" si="69"/>
        <v>-298.72612034220583</v>
      </c>
      <c r="BI108" s="22">
        <f t="shared" si="121"/>
        <v>-1667.6746542999872</v>
      </c>
      <c r="BJ108" s="22">
        <f>IF(U108&lt;0,PMT(BF108/12,Dane_kredytowe!F$13-SUM(AB$5:AB108)+1,BG108),0)</f>
        <v>-1966.400774642193</v>
      </c>
      <c r="BL108" s="23">
        <f>BL$5+SUM(BN$5:BN107)+SUM(R$5:R107)-SUM(S$5:S107)</f>
        <v>277500</v>
      </c>
      <c r="BM108" s="23">
        <f t="shared" si="90"/>
        <v>-1574.8125</v>
      </c>
      <c r="BN108" s="23">
        <f t="shared" si="91"/>
        <v>-833.33333333333337</v>
      </c>
      <c r="BO108" s="23">
        <f t="shared" si="92"/>
        <v>-2408.1458333333335</v>
      </c>
      <c r="BQ108" s="89">
        <f t="shared" si="93"/>
        <v>5.4800000000000001E-2</v>
      </c>
      <c r="BR108" s="23">
        <f>BR$5+SUM(BS$5:BS107)+SUM(R$5:R107)-SUM(S$5:S107)+SUM(BV$5:BV107)</f>
        <v>312221.86057371338</v>
      </c>
      <c r="BS108" s="22">
        <f t="shared" si="107"/>
        <v>-400.55259272381932</v>
      </c>
      <c r="BT108" s="22">
        <f t="shared" si="108"/>
        <v>-1425.8131632866243</v>
      </c>
      <c r="BU108" s="22">
        <f>IF(U108&lt;0,PMT(BQ108/12,Dane_kredytowe!F$13-SUM(AB$5:AB108)+1,BR108),0)</f>
        <v>-1826.3657560104436</v>
      </c>
      <c r="BV108" s="22">
        <f t="shared" si="101"/>
        <v>573.21475211698748</v>
      </c>
      <c r="BX108" s="23">
        <f>BX$5+SUM(BZ$5:BZ107)+SUM(R$5:R107)-SUM(S$5:S107)+SUM(CB$5,CB107)</f>
        <v>278252.26633255603</v>
      </c>
      <c r="BY108" s="22">
        <f t="shared" si="94"/>
        <v>-1270.6853495853393</v>
      </c>
      <c r="BZ108" s="22">
        <f t="shared" si="95"/>
        <v>-835.59239138905718</v>
      </c>
      <c r="CA108" s="22">
        <f t="shared" si="109"/>
        <v>-2106.2777409743967</v>
      </c>
      <c r="CB108" s="22">
        <f t="shared" si="110"/>
        <v>853.12673708094053</v>
      </c>
      <c r="CD108" s="22">
        <f>CD$5+SUM(CE$5:CE107)+SUM(R$5:R107)-SUM(S$5:S107)-SUM(CF$5:CF107)</f>
        <v>309878.26360730932</v>
      </c>
      <c r="CE108" s="22">
        <f t="shared" si="102"/>
        <v>1270.6853495853393</v>
      </c>
      <c r="CF108" s="22">
        <f t="shared" si="96"/>
        <v>1253.1510038934562</v>
      </c>
      <c r="CG108" s="22">
        <f t="shared" si="103"/>
        <v>-17.534345691883118</v>
      </c>
      <c r="CI108" s="89">
        <f t="shared" si="97"/>
        <v>0.60129999999999995</v>
      </c>
      <c r="CJ108" s="22">
        <f t="shared" si="98"/>
        <v>-753.52</v>
      </c>
      <c r="CK108" s="15">
        <f t="shared" si="104"/>
        <v>0</v>
      </c>
      <c r="CM108" s="22">
        <f t="shared" si="105"/>
        <v>-34759.784866777358</v>
      </c>
      <c r="CN108" s="15">
        <f t="shared" si="111"/>
        <v>-110.36231695201811</v>
      </c>
    </row>
    <row r="109" spans="1:92">
      <c r="A109" s="25"/>
      <c r="B109" s="80">
        <v>40422</v>
      </c>
      <c r="C109" s="81">
        <f t="shared" si="72"/>
        <v>3.0196000000000001</v>
      </c>
      <c r="D109" s="82">
        <f t="shared" si="106"/>
        <v>3.110188</v>
      </c>
      <c r="E109" s="73">
        <f t="shared" si="115"/>
        <v>-409.30242559822847</v>
      </c>
      <c r="F109" s="19">
        <f t="shared" si="70"/>
        <v>-1273.007492466503</v>
      </c>
      <c r="G109" s="19">
        <f t="shared" si="116"/>
        <v>-1290.7071494332183</v>
      </c>
      <c r="H109" s="19">
        <f t="shared" si="71"/>
        <v>-17.699656966715338</v>
      </c>
      <c r="I109" s="62"/>
      <c r="J109" s="15" t="str">
        <f t="shared" si="114"/>
        <v>Ze względu na spadek kursu CHF, rata jest korzystniejsza niż bez klauzuli indeksacyjnej</v>
      </c>
      <c r="K109" s="15">
        <f>IF(B109&lt;=Dane_kredytowe!F$9,0,K108+1)</f>
        <v>29</v>
      </c>
      <c r="L109" s="83">
        <f t="shared" si="73"/>
        <v>1.1000000000000001E-3</v>
      </c>
      <c r="M109" s="84">
        <f>L109+Dane_kredytowe!F$12</f>
        <v>3.1099999999999999E-2</v>
      </c>
      <c r="N109" s="79">
        <f>MAX(Dane_kredytowe!F$17+SUM(AA$5:AA108)-SUM(X$5:X109)+SUM(W$5:W109),0)</f>
        <v>91054.684292292557</v>
      </c>
      <c r="O109" s="85">
        <f>MAX(Dane_kredytowe!F$8+SUM(V$5:V108)-SUM(S$5:S109)+SUM(R$5:R108),0)</f>
        <v>287134.70689472317</v>
      </c>
      <c r="P109" s="67">
        <f t="shared" si="122"/>
        <v>360</v>
      </c>
      <c r="Q109" s="127" t="str">
        <f>IF(AND(K109&gt;0,K109&lt;=Dane_kredytowe!F$16),"tak","nie")</f>
        <v>nie</v>
      </c>
      <c r="R109" s="69"/>
      <c r="S109" s="86">
        <f>IF(Dane_kredytowe!F$19=B109,O108+V108,_xlfn.XLOOKUP(B109,Dane_kredytowe!M$9:M$18,Dane_kredytowe!N$9:N$18,0))</f>
        <v>0</v>
      </c>
      <c r="T109" s="71">
        <f t="shared" si="74"/>
        <v>-744.15744870215758</v>
      </c>
      <c r="U109" s="72">
        <f>IF(Q109="tak",T109,IF(P109-SUM(AB$5:AB109)+1&gt;0,IF(Dane_kredytowe!F$9&lt;B109,IF(SUM(AB$5:AB109)-Dane_kredytowe!F$16+1&gt;0,PMT(M109/12,P109+1-SUM(AB$5:AB109),O109),T109),0),0))</f>
        <v>-1290.7071494332183</v>
      </c>
      <c r="V109" s="72">
        <f t="shared" si="99"/>
        <v>-546.54970073106074</v>
      </c>
      <c r="W109" s="19" t="str">
        <f t="shared" si="100"/>
        <v xml:space="preserve"> </v>
      </c>
      <c r="X109" s="19">
        <f t="shared" si="113"/>
        <v>0</v>
      </c>
      <c r="Y109" s="73">
        <f t="shared" si="76"/>
        <v>-235.98339012419152</v>
      </c>
      <c r="Z109" s="19">
        <f>IF(P109-SUM(AB$5:AB109)+1&gt;0,IF(Dane_kredytowe!F$9&lt;B109,IF(SUM(AB$5:AB109)-Dane_kredytowe!F$16+1&gt;0,PMT(M109/12,P109+1-SUM(AB$5:AB109),N109),Y109),0),0)</f>
        <v>-409.30242559822847</v>
      </c>
      <c r="AA109" s="19">
        <f t="shared" si="68"/>
        <v>-173.31903547403695</v>
      </c>
      <c r="AB109" s="20">
        <f>IF(AND(Dane_kredytowe!F$9&lt;B109,SUM(AB$5:AB108)&lt;P108),1," ")</f>
        <v>1</v>
      </c>
      <c r="AD109" s="75">
        <f>IF(OR(B109&lt;Dane_kredytowe!F$15,Dane_kredytowe!F$15=""),-F109+S109,0)</f>
        <v>0</v>
      </c>
      <c r="AE109" s="75">
        <f t="shared" si="77"/>
        <v>409.30242559822847</v>
      </c>
      <c r="AG109" s="22">
        <f>Dane_kredytowe!F$17-SUM(AI$5:AI108)+SUM(W$42:W109)-SUM(X$42:X109)</f>
        <v>87735.180000000008</v>
      </c>
      <c r="AH109" s="22">
        <f t="shared" si="78"/>
        <v>227.38</v>
      </c>
      <c r="AI109" s="22">
        <f t="shared" si="79"/>
        <v>264.26</v>
      </c>
      <c r="AJ109" s="22">
        <f t="shared" si="123"/>
        <v>491.64</v>
      </c>
      <c r="AK109" s="22">
        <f t="shared" si="80"/>
        <v>1529.09</v>
      </c>
      <c r="AL109" s="22">
        <f>Dane_kredytowe!F$8-SUM(AN$5:AN108)+SUM(R$42:R108)-SUM(S$42:S109)</f>
        <v>276666.76</v>
      </c>
      <c r="AM109" s="22">
        <f t="shared" si="81"/>
        <v>717.03</v>
      </c>
      <c r="AN109" s="22">
        <f t="shared" si="82"/>
        <v>833.33</v>
      </c>
      <c r="AO109" s="22">
        <f t="shared" si="117"/>
        <v>1550.3600000000001</v>
      </c>
      <c r="AP109" s="22">
        <f t="shared" si="118"/>
        <v>-21.270000000000209</v>
      </c>
      <c r="AR109" s="87">
        <f t="shared" si="83"/>
        <v>40422</v>
      </c>
      <c r="AS109" s="23">
        <f>AS$5+SUM(AV$5:AV108)-SUM(X$5:X109)+SUM(W$5:W109)</f>
        <v>133092.93913725927</v>
      </c>
      <c r="AT109" s="22">
        <f t="shared" si="84"/>
        <v>-344.93253393073024</v>
      </c>
      <c r="AU109" s="22">
        <f>IF(AB109=1,IF(Q109="tak",AT109,PMT(M109/12,P109+1-SUM(AB$5:AB109),AS109)),0)</f>
        <v>-598.26974572782899</v>
      </c>
      <c r="AV109" s="22">
        <f t="shared" si="119"/>
        <v>-253.33721179709875</v>
      </c>
      <c r="AW109" s="22">
        <f t="shared" si="85"/>
        <v>-1806.5353241997525</v>
      </c>
      <c r="AY109" s="23">
        <f>AY$5+SUM(BA$5:BA108)+SUM(W$5:W108)-SUM(X$5:X108)</f>
        <v>128240.71143784183</v>
      </c>
      <c r="AZ109" s="23">
        <f t="shared" si="86"/>
        <v>-344.93253393073024</v>
      </c>
      <c r="BA109" s="23">
        <f t="shared" si="87"/>
        <v>-386.27</v>
      </c>
      <c r="BB109" s="23">
        <f t="shared" si="120"/>
        <v>-731.20253393073017</v>
      </c>
      <c r="BC109" s="23">
        <f t="shared" si="88"/>
        <v>-2207.939171457233</v>
      </c>
      <c r="BE109" s="88">
        <f t="shared" si="89"/>
        <v>3.8199999999999998E-2</v>
      </c>
      <c r="BF109" s="89">
        <f>BE109+Dane_kredytowe!F$12</f>
        <v>6.8199999999999997E-2</v>
      </c>
      <c r="BG109" s="23">
        <f>BG$5+SUM(BH$5:BH108)+SUM(R$5:R108)-SUM(S$5:S108)</f>
        <v>293564.64908670401</v>
      </c>
      <c r="BH109" s="22">
        <f t="shared" si="69"/>
        <v>-299.88742409163956</v>
      </c>
      <c r="BI109" s="22">
        <f t="shared" si="121"/>
        <v>-1668.4257556427676</v>
      </c>
      <c r="BJ109" s="22">
        <f>IF(U109&lt;0,PMT(BF109/12,Dane_kredytowe!F$13-SUM(AB$5:AB109)+1,BG109),0)</f>
        <v>-1968.3131797344072</v>
      </c>
      <c r="BL109" s="23">
        <f>BL$5+SUM(BN$5:BN108)+SUM(R$5:R108)-SUM(S$5:S108)</f>
        <v>276666.66666666669</v>
      </c>
      <c r="BM109" s="23">
        <f t="shared" si="90"/>
        <v>-1572.3888888888889</v>
      </c>
      <c r="BN109" s="23">
        <f t="shared" si="91"/>
        <v>-833.33333333333337</v>
      </c>
      <c r="BO109" s="23">
        <f t="shared" si="92"/>
        <v>-2405.7222222222222</v>
      </c>
      <c r="BQ109" s="89">
        <f t="shared" si="93"/>
        <v>5.4899999999999997E-2</v>
      </c>
      <c r="BR109" s="23">
        <f>BR$5+SUM(BS$5:BS108)+SUM(R$5:R108)-SUM(S$5:S108)+SUM(BV$5:BV108)</f>
        <v>312394.52273310651</v>
      </c>
      <c r="BS109" s="22">
        <f t="shared" si="107"/>
        <v>-402.43361629396077</v>
      </c>
      <c r="BT109" s="22">
        <f t="shared" si="108"/>
        <v>-1429.2049415039621</v>
      </c>
      <c r="BU109" s="22">
        <f>IF(U109&lt;0,PMT(BQ109/12,Dane_kredytowe!F$13-SUM(AB$5:AB109)+1,BR109),0)</f>
        <v>-1831.6385577979229</v>
      </c>
      <c r="BV109" s="22">
        <f t="shared" si="101"/>
        <v>558.6310653314199</v>
      </c>
      <c r="BX109" s="23">
        <f>BX$5+SUM(BZ$5:BZ108)+SUM(R$5:R108)-SUM(S$5:S108)+SUM(CB$5,CB108)</f>
        <v>277430.22264919389</v>
      </c>
      <c r="BY109" s="22">
        <f t="shared" si="94"/>
        <v>-1269.2432686200621</v>
      </c>
      <c r="BZ109" s="22">
        <f t="shared" si="95"/>
        <v>-835.63320075058402</v>
      </c>
      <c r="CA109" s="22">
        <f t="shared" si="109"/>
        <v>-2104.8764693706462</v>
      </c>
      <c r="CB109" s="22">
        <f t="shared" si="110"/>
        <v>831.86897690414321</v>
      </c>
      <c r="CD109" s="22">
        <f>CD$5+SUM(CE$5:CE108)+SUM(R$5:R108)-SUM(S$5:S108)-SUM(CF$5:CF108)</f>
        <v>309895.79795300122</v>
      </c>
      <c r="CE109" s="22">
        <f t="shared" si="102"/>
        <v>1269.2432686200621</v>
      </c>
      <c r="CF109" s="22">
        <f t="shared" si="96"/>
        <v>1273.007492466503</v>
      </c>
      <c r="CG109" s="22">
        <f t="shared" si="103"/>
        <v>3.7642238464409274</v>
      </c>
      <c r="CI109" s="89">
        <f t="shared" si="97"/>
        <v>0.59179999999999999</v>
      </c>
      <c r="CJ109" s="22">
        <f t="shared" si="98"/>
        <v>-753.37</v>
      </c>
      <c r="CK109" s="15">
        <f t="shared" si="104"/>
        <v>0</v>
      </c>
      <c r="CM109" s="22">
        <f t="shared" si="105"/>
        <v>-36032.79235924386</v>
      </c>
      <c r="CN109" s="15">
        <f t="shared" si="111"/>
        <v>-114.70438901025962</v>
      </c>
    </row>
    <row r="110" spans="1:92">
      <c r="A110" s="25"/>
      <c r="B110" s="80">
        <v>40452</v>
      </c>
      <c r="C110" s="81">
        <f t="shared" si="72"/>
        <v>2.9358</v>
      </c>
      <c r="D110" s="82">
        <f t="shared" si="106"/>
        <v>3.0238740000000002</v>
      </c>
      <c r="E110" s="73">
        <f t="shared" si="115"/>
        <v>-409.30242559822847</v>
      </c>
      <c r="F110" s="19">
        <f t="shared" si="70"/>
        <v>-1237.6789629034176</v>
      </c>
      <c r="G110" s="19">
        <f t="shared" si="116"/>
        <v>-1290.7071494332183</v>
      </c>
      <c r="H110" s="19">
        <f t="shared" si="71"/>
        <v>-53.028186529800678</v>
      </c>
      <c r="I110" s="62"/>
      <c r="J110" s="15" t="str">
        <f t="shared" si="114"/>
        <v>Ze względu na spadek kursu CHF, rata jest korzystniejsza niż bez klauzuli indeksacyjnej</v>
      </c>
      <c r="K110" s="15">
        <f>IF(B110&lt;=Dane_kredytowe!F$9,0,K109+1)</f>
        <v>30</v>
      </c>
      <c r="L110" s="83">
        <f t="shared" si="73"/>
        <v>1.1000000000000001E-3</v>
      </c>
      <c r="M110" s="84">
        <f>L110+Dane_kredytowe!F$12</f>
        <v>3.1099999999999999E-2</v>
      </c>
      <c r="N110" s="79">
        <f>MAX(Dane_kredytowe!F$17+SUM(AA$5:AA109)-SUM(X$5:X110)+SUM(W$5:W110),0)</f>
        <v>90881.365256818521</v>
      </c>
      <c r="O110" s="85">
        <f>MAX(Dane_kredytowe!F$8+SUM(V$5:V109)-SUM(S$5:S110)+SUM(R$5:R109),0)</f>
        <v>286588.15719399211</v>
      </c>
      <c r="P110" s="67">
        <f t="shared" si="122"/>
        <v>360</v>
      </c>
      <c r="Q110" s="127" t="str">
        <f>IF(AND(K110&gt;0,K110&lt;=Dane_kredytowe!F$16),"tak","nie")</f>
        <v>nie</v>
      </c>
      <c r="R110" s="69"/>
      <c r="S110" s="86">
        <f>IF(Dane_kredytowe!F$19=B110,O109+V109,_xlfn.XLOOKUP(B110,Dane_kredytowe!M$9:M$18,Dane_kredytowe!N$9:N$18,0))</f>
        <v>0</v>
      </c>
      <c r="T110" s="71">
        <f t="shared" si="74"/>
        <v>-742.74097406109615</v>
      </c>
      <c r="U110" s="72">
        <f>IF(Q110="tak",T110,IF(P110-SUM(AB$5:AB110)+1&gt;0,IF(Dane_kredytowe!F$9&lt;B110,IF(SUM(AB$5:AB110)-Dane_kredytowe!F$16+1&gt;0,PMT(M110/12,P110+1-SUM(AB$5:AB110),O110),T110),0),0))</f>
        <v>-1290.7071494332183</v>
      </c>
      <c r="V110" s="72">
        <f t="shared" si="99"/>
        <v>-547.96617537212217</v>
      </c>
      <c r="W110" s="19" t="str">
        <f t="shared" si="100"/>
        <v xml:space="preserve"> </v>
      </c>
      <c r="X110" s="19">
        <f t="shared" si="113"/>
        <v>0</v>
      </c>
      <c r="Y110" s="73">
        <f t="shared" si="76"/>
        <v>-235.53420495725467</v>
      </c>
      <c r="Z110" s="19">
        <f>IF(P110-SUM(AB$5:AB110)+1&gt;0,IF(Dane_kredytowe!F$9&lt;B110,IF(SUM(AB$5:AB110)-Dane_kredytowe!F$16+1&gt;0,PMT(M110/12,P110+1-SUM(AB$5:AB110),N110),Y110),0),0)</f>
        <v>-409.30242559822847</v>
      </c>
      <c r="AA110" s="19">
        <f t="shared" si="68"/>
        <v>-173.76822064097379</v>
      </c>
      <c r="AB110" s="20">
        <f>IF(AND(Dane_kredytowe!F$9&lt;B110,SUM(AB$5:AB109)&lt;P109),1," ")</f>
        <v>1</v>
      </c>
      <c r="AD110" s="75">
        <f>IF(OR(B110&lt;Dane_kredytowe!F$15,Dane_kredytowe!F$15=""),-F110+S110,0)</f>
        <v>0</v>
      </c>
      <c r="AE110" s="75">
        <f t="shared" si="77"/>
        <v>409.30242559822847</v>
      </c>
      <c r="AG110" s="22">
        <f>Dane_kredytowe!F$17-SUM(AI$5:AI109)+SUM(W$42:W110)-SUM(X$42:X110)</f>
        <v>87470.92</v>
      </c>
      <c r="AH110" s="22">
        <f t="shared" si="78"/>
        <v>226.7</v>
      </c>
      <c r="AI110" s="22">
        <f t="shared" si="79"/>
        <v>264.26</v>
      </c>
      <c r="AJ110" s="22">
        <f t="shared" si="123"/>
        <v>490.96</v>
      </c>
      <c r="AK110" s="22">
        <f t="shared" si="80"/>
        <v>1484.6</v>
      </c>
      <c r="AL110" s="22">
        <f>Dane_kredytowe!F$8-SUM(AN$5:AN109)+SUM(R$42:R109)-SUM(S$42:S110)</f>
        <v>275833.43</v>
      </c>
      <c r="AM110" s="22">
        <f t="shared" si="81"/>
        <v>714.87</v>
      </c>
      <c r="AN110" s="22">
        <f t="shared" si="82"/>
        <v>833.33</v>
      </c>
      <c r="AO110" s="22">
        <f t="shared" si="117"/>
        <v>1548.2</v>
      </c>
      <c r="AP110" s="22">
        <f t="shared" si="118"/>
        <v>-63.600000000000136</v>
      </c>
      <c r="AR110" s="87">
        <f t="shared" si="83"/>
        <v>40452</v>
      </c>
      <c r="AS110" s="23">
        <f>AS$5+SUM(AV$5:AV109)-SUM(X$5:X110)+SUM(W$5:W110)</f>
        <v>132839.60192546216</v>
      </c>
      <c r="AT110" s="22">
        <f t="shared" si="84"/>
        <v>-344.27596832348945</v>
      </c>
      <c r="AU110" s="22">
        <f>IF(AB110=1,IF(Q110="tak",AT110,PMT(M110/12,P110+1-SUM(AB$5:AB110),AS110)),0)</f>
        <v>-598.26974572782899</v>
      </c>
      <c r="AV110" s="22">
        <f t="shared" si="119"/>
        <v>-253.99377740433954</v>
      </c>
      <c r="AW110" s="22">
        <f t="shared" si="85"/>
        <v>-1756.4003195077603</v>
      </c>
      <c r="AY110" s="23">
        <f>AY$5+SUM(BA$5:BA109)+SUM(W$5:W109)-SUM(X$5:X109)</f>
        <v>127854.44143784184</v>
      </c>
      <c r="AZ110" s="23">
        <f t="shared" si="86"/>
        <v>-344.27596832348945</v>
      </c>
      <c r="BA110" s="23">
        <f t="shared" si="87"/>
        <v>-386.27</v>
      </c>
      <c r="BB110" s="23">
        <f t="shared" si="120"/>
        <v>-730.54596832348943</v>
      </c>
      <c r="BC110" s="23">
        <f t="shared" si="88"/>
        <v>-2144.7368538041001</v>
      </c>
      <c r="BE110" s="88">
        <f t="shared" si="89"/>
        <v>3.8300000000000001E-2</v>
      </c>
      <c r="BF110" s="89">
        <f>BE110+Dane_kredytowe!F$12</f>
        <v>6.83E-2</v>
      </c>
      <c r="BG110" s="23">
        <f>BG$5+SUM(BH$5:BH109)+SUM(R$5:R109)-SUM(S$5:S109)</f>
        <v>293264.76166261238</v>
      </c>
      <c r="BH110" s="22">
        <f t="shared" si="69"/>
        <v>-301.05752831205155</v>
      </c>
      <c r="BI110" s="22">
        <f t="shared" si="121"/>
        <v>-1669.1652684630353</v>
      </c>
      <c r="BJ110" s="22">
        <f>IF(U110&lt;0,PMT(BF110/12,Dane_kredytowe!F$13-SUM(AB$5:AB110)+1,BG110),0)</f>
        <v>-1970.2227967750869</v>
      </c>
      <c r="BL110" s="23">
        <f>BL$5+SUM(BN$5:BN109)+SUM(R$5:R109)-SUM(S$5:S109)</f>
        <v>275833.33333333331</v>
      </c>
      <c r="BM110" s="23">
        <f t="shared" si="90"/>
        <v>-1569.9513888888887</v>
      </c>
      <c r="BN110" s="23">
        <f t="shared" si="91"/>
        <v>-833.33333333333326</v>
      </c>
      <c r="BO110" s="23">
        <f t="shared" si="92"/>
        <v>-2403.2847222222217</v>
      </c>
      <c r="BQ110" s="89">
        <f t="shared" si="93"/>
        <v>5.5E-2</v>
      </c>
      <c r="BR110" s="23">
        <f>BR$5+SUM(BS$5:BS109)+SUM(R$5:R109)-SUM(S$5:S109)+SUM(BV$5:BV109)</f>
        <v>312550.72018214402</v>
      </c>
      <c r="BS110" s="22">
        <f t="shared" si="107"/>
        <v>-404.30979691464677</v>
      </c>
      <c r="BT110" s="22">
        <f t="shared" si="108"/>
        <v>-1432.5241341681601</v>
      </c>
      <c r="BU110" s="22">
        <f>IF(U110&lt;0,PMT(BQ110/12,Dane_kredytowe!F$13-SUM(AB$5:AB110)+1,BR110),0)</f>
        <v>-1836.8339310828069</v>
      </c>
      <c r="BV110" s="22">
        <f t="shared" si="101"/>
        <v>599.15496817938924</v>
      </c>
      <c r="BX110" s="23">
        <f>BX$5+SUM(BZ$5:BZ109)+SUM(R$5:R109)-SUM(S$5:S109)+SUM(CB$5,CB109)</f>
        <v>276573.33168826654</v>
      </c>
      <c r="BY110" s="22">
        <f t="shared" si="94"/>
        <v>-1267.6277702378882</v>
      </c>
      <c r="BZ110" s="22">
        <f t="shared" si="95"/>
        <v>-835.56897791017082</v>
      </c>
      <c r="CA110" s="22">
        <f t="shared" si="109"/>
        <v>-2103.1967481480588</v>
      </c>
      <c r="CB110" s="22">
        <f t="shared" si="110"/>
        <v>865.51778524464112</v>
      </c>
      <c r="CD110" s="22">
        <f>CD$5+SUM(CE$5:CE109)+SUM(R$5:R109)-SUM(S$5:S109)-SUM(CF$5:CF109)</f>
        <v>309892.03372915479</v>
      </c>
      <c r="CE110" s="22">
        <f t="shared" si="102"/>
        <v>1267.6277702378882</v>
      </c>
      <c r="CF110" s="22">
        <f t="shared" si="96"/>
        <v>1237.6789629034176</v>
      </c>
      <c r="CG110" s="22">
        <f t="shared" si="103"/>
        <v>-29.94880733447053</v>
      </c>
      <c r="CI110" s="89">
        <f t="shared" si="97"/>
        <v>0.58379999999999999</v>
      </c>
      <c r="CJ110" s="22">
        <f t="shared" si="98"/>
        <v>-722.56</v>
      </c>
      <c r="CK110" s="15">
        <f t="shared" si="104"/>
        <v>0</v>
      </c>
      <c r="CM110" s="22">
        <f t="shared" si="105"/>
        <v>-37270.471322147278</v>
      </c>
      <c r="CN110" s="15">
        <f t="shared" si="111"/>
        <v>-118.95492096985339</v>
      </c>
    </row>
    <row r="111" spans="1:92">
      <c r="A111" s="25"/>
      <c r="B111" s="80">
        <v>40483</v>
      </c>
      <c r="C111" s="81">
        <f t="shared" si="72"/>
        <v>2.9432</v>
      </c>
      <c r="D111" s="82">
        <f t="shared" si="106"/>
        <v>3.0314960000000002</v>
      </c>
      <c r="E111" s="73">
        <f t="shared" si="115"/>
        <v>-409.30242559822858</v>
      </c>
      <c r="F111" s="19">
        <f t="shared" si="70"/>
        <v>-1240.7986659913277</v>
      </c>
      <c r="G111" s="19">
        <f t="shared" si="116"/>
        <v>-1290.7071494332188</v>
      </c>
      <c r="H111" s="19">
        <f t="shared" si="71"/>
        <v>-49.908483441891121</v>
      </c>
      <c r="I111" s="62"/>
      <c r="J111" s="15" t="str">
        <f t="shared" si="114"/>
        <v>Ze względu na spadek kursu CHF, rata jest korzystniejsza niż bez klauzuli indeksacyjnej</v>
      </c>
      <c r="K111" s="15">
        <f>IF(B111&lt;=Dane_kredytowe!F$9,0,K110+1)</f>
        <v>31</v>
      </c>
      <c r="L111" s="83">
        <f t="shared" si="73"/>
        <v>1.1000000000000001E-3</v>
      </c>
      <c r="M111" s="84">
        <f>L111+Dane_kredytowe!F$12</f>
        <v>3.1099999999999999E-2</v>
      </c>
      <c r="N111" s="79">
        <f>MAX(Dane_kredytowe!F$17+SUM(AA$5:AA110)-SUM(X$5:X111)+SUM(W$5:W111),0)</f>
        <v>90707.59703617754</v>
      </c>
      <c r="O111" s="85">
        <f>MAX(Dane_kredytowe!F$8+SUM(V$5:V110)-SUM(S$5:S111)+SUM(R$5:R110),0)</f>
        <v>286040.19101861998</v>
      </c>
      <c r="P111" s="67">
        <f t="shared" si="122"/>
        <v>360</v>
      </c>
      <c r="Q111" s="127" t="str">
        <f>IF(AND(K111&gt;0,K111&lt;=Dane_kredytowe!F$16),"tak","nie")</f>
        <v>nie</v>
      </c>
      <c r="R111" s="69"/>
      <c r="S111" s="86">
        <f>IF(Dane_kredytowe!F$19=B111,O110+V110,_xlfn.XLOOKUP(B111,Dane_kredytowe!M$9:M$18,Dane_kredytowe!N$9:N$18,0))</f>
        <v>0</v>
      </c>
      <c r="T111" s="71">
        <f t="shared" si="74"/>
        <v>-741.32082838992346</v>
      </c>
      <c r="U111" s="72">
        <f>IF(Q111="tak",T111,IF(P111-SUM(AB$5:AB111)+1&gt;0,IF(Dane_kredytowe!F$9&lt;B111,IF(SUM(AB$5:AB111)-Dane_kredytowe!F$16+1&gt;0,PMT(M111/12,P111+1-SUM(AB$5:AB111),O111),T111),0),0))</f>
        <v>-1290.7071494332188</v>
      </c>
      <c r="V111" s="72">
        <f t="shared" si="99"/>
        <v>-549.38632104329531</v>
      </c>
      <c r="W111" s="19" t="str">
        <f t="shared" si="100"/>
        <v xml:space="preserve"> </v>
      </c>
      <c r="X111" s="19">
        <f t="shared" si="113"/>
        <v>0</v>
      </c>
      <c r="Y111" s="73">
        <f t="shared" si="76"/>
        <v>-235.08385565209346</v>
      </c>
      <c r="Z111" s="19">
        <f>IF(P111-SUM(AB$5:AB111)+1&gt;0,IF(Dane_kredytowe!F$9&lt;B111,IF(SUM(AB$5:AB111)-Dane_kredytowe!F$16+1&gt;0,PMT(M111/12,P111+1-SUM(AB$5:AB111),N111),Y111),0),0)</f>
        <v>-409.30242559822858</v>
      </c>
      <c r="AA111" s="19">
        <f t="shared" si="68"/>
        <v>-174.21856994613512</v>
      </c>
      <c r="AB111" s="20">
        <f>IF(AND(Dane_kredytowe!F$9&lt;B111,SUM(AB$5:AB110)&lt;P110),1," ")</f>
        <v>1</v>
      </c>
      <c r="AD111" s="75">
        <f>IF(OR(B111&lt;Dane_kredytowe!F$15,Dane_kredytowe!F$15=""),-F111+S111,0)</f>
        <v>0</v>
      </c>
      <c r="AE111" s="75">
        <f t="shared" si="77"/>
        <v>409.30242559822858</v>
      </c>
      <c r="AG111" s="22">
        <f>Dane_kredytowe!F$17-SUM(AI$5:AI110)+SUM(W$42:W111)-SUM(X$42:X111)</f>
        <v>87206.66</v>
      </c>
      <c r="AH111" s="22">
        <f t="shared" si="78"/>
        <v>226.01</v>
      </c>
      <c r="AI111" s="22">
        <f t="shared" si="79"/>
        <v>264.26</v>
      </c>
      <c r="AJ111" s="22">
        <f t="shared" si="123"/>
        <v>490.27</v>
      </c>
      <c r="AK111" s="22">
        <f t="shared" si="80"/>
        <v>1486.25</v>
      </c>
      <c r="AL111" s="22">
        <f>Dane_kredytowe!F$8-SUM(AN$5:AN110)+SUM(R$42:R110)-SUM(S$42:S111)</f>
        <v>275000.09999999998</v>
      </c>
      <c r="AM111" s="22">
        <f t="shared" si="81"/>
        <v>712.71</v>
      </c>
      <c r="AN111" s="22">
        <f t="shared" si="82"/>
        <v>833.33</v>
      </c>
      <c r="AO111" s="22">
        <f t="shared" si="117"/>
        <v>1546.04</v>
      </c>
      <c r="AP111" s="22">
        <f t="shared" si="118"/>
        <v>-59.789999999999964</v>
      </c>
      <c r="AR111" s="87">
        <f t="shared" si="83"/>
        <v>40483</v>
      </c>
      <c r="AS111" s="23">
        <f>AS$5+SUM(AV$5:AV110)-SUM(X$5:X111)+SUM(W$5:W111)</f>
        <v>132585.60814805783</v>
      </c>
      <c r="AT111" s="22">
        <f t="shared" si="84"/>
        <v>-343.61770111704988</v>
      </c>
      <c r="AU111" s="22">
        <f>IF(AB111=1,IF(Q111="tak",AT111,PMT(M111/12,P111+1-SUM(AB$5:AB111),AS111)),0)</f>
        <v>-598.2697457278291</v>
      </c>
      <c r="AV111" s="22">
        <f t="shared" si="119"/>
        <v>-254.65204461077923</v>
      </c>
      <c r="AW111" s="22">
        <f t="shared" si="85"/>
        <v>-1760.8275156261466</v>
      </c>
      <c r="AY111" s="23">
        <f>AY$5+SUM(BA$5:BA110)+SUM(W$5:W110)-SUM(X$5:X110)</f>
        <v>127468.17143784184</v>
      </c>
      <c r="AZ111" s="23">
        <f t="shared" si="86"/>
        <v>-343.61770111704988</v>
      </c>
      <c r="BA111" s="23">
        <f t="shared" si="87"/>
        <v>-386.27</v>
      </c>
      <c r="BB111" s="23">
        <f t="shared" si="120"/>
        <v>-729.8877011170498</v>
      </c>
      <c r="BC111" s="23">
        <f t="shared" si="88"/>
        <v>-2148.2054819277009</v>
      </c>
      <c r="BE111" s="88">
        <f t="shared" si="89"/>
        <v>3.8600000000000002E-2</v>
      </c>
      <c r="BF111" s="89">
        <f>BE111+Dane_kredytowe!F$12</f>
        <v>6.8599999999999994E-2</v>
      </c>
      <c r="BG111" s="23">
        <f>BG$5+SUM(BH$5:BH110)+SUM(R$5:R110)-SUM(S$5:S110)</f>
        <v>292963.70413430029</v>
      </c>
      <c r="BH111" s="22">
        <f t="shared" si="69"/>
        <v>-301.16977392017475</v>
      </c>
      <c r="BI111" s="22">
        <f t="shared" si="121"/>
        <v>-1674.77584196775</v>
      </c>
      <c r="BJ111" s="22">
        <f>IF(U111&lt;0,PMT(BF111/12,Dane_kredytowe!F$13-SUM(AB$5:AB111)+1,BG111),0)</f>
        <v>-1975.9456158879248</v>
      </c>
      <c r="BL111" s="23">
        <f>BL$5+SUM(BN$5:BN110)+SUM(R$5:R110)-SUM(S$5:S110)</f>
        <v>275000</v>
      </c>
      <c r="BM111" s="23">
        <f t="shared" si="90"/>
        <v>-1572.0833333333333</v>
      </c>
      <c r="BN111" s="23">
        <f t="shared" si="91"/>
        <v>-833.33333333333337</v>
      </c>
      <c r="BO111" s="23">
        <f t="shared" si="92"/>
        <v>-2405.4166666666665</v>
      </c>
      <c r="BQ111" s="89">
        <f t="shared" si="93"/>
        <v>5.5300000000000002E-2</v>
      </c>
      <c r="BR111" s="23">
        <f>BR$5+SUM(BS$5:BS110)+SUM(R$5:R110)-SUM(S$5:S110)+SUM(BV$5:BV110)</f>
        <v>312745.56535340869</v>
      </c>
      <c r="BS111" s="22">
        <f t="shared" si="107"/>
        <v>-404.8757250829583</v>
      </c>
      <c r="BT111" s="22">
        <f t="shared" si="108"/>
        <v>-1441.2358136702917</v>
      </c>
      <c r="BU111" s="22">
        <f>IF(U111&lt;0,PMT(BQ111/12,Dane_kredytowe!F$13-SUM(AB$5:AB111)+1,BR111),0)</f>
        <v>-1846.11153875325</v>
      </c>
      <c r="BV111" s="22">
        <f t="shared" si="101"/>
        <v>605.31287276192234</v>
      </c>
      <c r="BX111" s="23">
        <f>BX$5+SUM(BZ$5:BZ110)+SUM(R$5:R110)-SUM(S$5:S110)+SUM(CB$5,CB110)</f>
        <v>275771.41151869687</v>
      </c>
      <c r="BY111" s="22">
        <f t="shared" si="94"/>
        <v>-1270.8465880819947</v>
      </c>
      <c r="BZ111" s="22">
        <f t="shared" si="95"/>
        <v>-835.67094399605116</v>
      </c>
      <c r="CA111" s="22">
        <f t="shared" si="109"/>
        <v>-2106.5175320780459</v>
      </c>
      <c r="CB111" s="22">
        <f t="shared" si="110"/>
        <v>865.71886608671821</v>
      </c>
      <c r="CD111" s="22">
        <f>CD$5+SUM(CE$5:CE110)+SUM(R$5:R110)-SUM(S$5:S110)-SUM(CF$5:CF110)</f>
        <v>309921.98253648926</v>
      </c>
      <c r="CE111" s="22">
        <f t="shared" si="102"/>
        <v>1270.8465880819947</v>
      </c>
      <c r="CF111" s="22">
        <f t="shared" si="96"/>
        <v>1240.7986659913277</v>
      </c>
      <c r="CG111" s="22">
        <f t="shared" si="103"/>
        <v>-30.047922090667043</v>
      </c>
      <c r="CI111" s="89">
        <f t="shared" si="97"/>
        <v>0.58230000000000004</v>
      </c>
      <c r="CJ111" s="22">
        <f t="shared" si="98"/>
        <v>-722.52</v>
      </c>
      <c r="CK111" s="15">
        <f t="shared" si="104"/>
        <v>0</v>
      </c>
      <c r="CM111" s="22">
        <f t="shared" si="105"/>
        <v>-38511.269988138607</v>
      </c>
      <c r="CN111" s="15">
        <f t="shared" si="111"/>
        <v>-123.87791846184587</v>
      </c>
    </row>
    <row r="112" spans="1:92">
      <c r="A112" s="25"/>
      <c r="B112" s="80">
        <v>40513</v>
      </c>
      <c r="C112" s="81">
        <f t="shared" si="72"/>
        <v>3.1154999999999999</v>
      </c>
      <c r="D112" s="82">
        <f t="shared" si="106"/>
        <v>3.2089650000000001</v>
      </c>
      <c r="E112" s="73">
        <f t="shared" si="115"/>
        <v>-409.30242559822847</v>
      </c>
      <c r="F112" s="19">
        <f t="shared" si="70"/>
        <v>-1313.4371581598193</v>
      </c>
      <c r="G112" s="19">
        <f t="shared" si="116"/>
        <v>-1290.7071494332183</v>
      </c>
      <c r="H112" s="19">
        <f t="shared" si="71"/>
        <v>22.730008726601</v>
      </c>
      <c r="I112" s="62"/>
      <c r="J112" s="15" t="str">
        <f t="shared" si="114"/>
        <v xml:space="preserve"> </v>
      </c>
      <c r="K112" s="15">
        <f>IF(B112&lt;=Dane_kredytowe!F$9,0,K111+1)</f>
        <v>32</v>
      </c>
      <c r="L112" s="83">
        <f t="shared" si="73"/>
        <v>1.1000000000000001E-3</v>
      </c>
      <c r="M112" s="84">
        <f>L112+Dane_kredytowe!F$12</f>
        <v>3.1099999999999999E-2</v>
      </c>
      <c r="N112" s="79">
        <f>MAX(Dane_kredytowe!F$17+SUM(AA$5:AA111)-SUM(X$5:X112)+SUM(W$5:W112),0)</f>
        <v>90533.378466231414</v>
      </c>
      <c r="O112" s="85">
        <f>MAX(Dane_kredytowe!F$8+SUM(V$5:V111)-SUM(S$5:S112)+SUM(R$5:R111),0)</f>
        <v>285490.80469757668</v>
      </c>
      <c r="P112" s="67">
        <f t="shared" si="122"/>
        <v>360</v>
      </c>
      <c r="Q112" s="127" t="str">
        <f>IF(AND(K112&gt;0,K112&lt;=Dane_kredytowe!F$16),"tak","nie")</f>
        <v>nie</v>
      </c>
      <c r="R112" s="69"/>
      <c r="S112" s="86">
        <f>IF(Dane_kredytowe!F$19=B112,O111+V111,_xlfn.XLOOKUP(B112,Dane_kredytowe!M$9:M$18,Dane_kredytowe!N$9:N$18,0))</f>
        <v>0</v>
      </c>
      <c r="T112" s="71">
        <f t="shared" si="74"/>
        <v>-739.89700217455277</v>
      </c>
      <c r="U112" s="72">
        <f>IF(Q112="tak",T112,IF(P112-SUM(AB$5:AB112)+1&gt;0,IF(Dane_kredytowe!F$9&lt;B112,IF(SUM(AB$5:AB112)-Dane_kredytowe!F$16+1&gt;0,PMT(M112/12,P112+1-SUM(AB$5:AB112),O112),T112),0),0))</f>
        <v>-1290.7071494332183</v>
      </c>
      <c r="V112" s="72">
        <f t="shared" si="99"/>
        <v>-550.81014725866555</v>
      </c>
      <c r="W112" s="19" t="str">
        <f t="shared" si="100"/>
        <v xml:space="preserve"> </v>
      </c>
      <c r="X112" s="19">
        <f t="shared" si="113"/>
        <v>0</v>
      </c>
      <c r="Y112" s="73">
        <f t="shared" si="76"/>
        <v>-234.63233919164975</v>
      </c>
      <c r="Z112" s="19">
        <f>IF(P112-SUM(AB$5:AB112)+1&gt;0,IF(Dane_kredytowe!F$9&lt;B112,IF(SUM(AB$5:AB112)-Dane_kredytowe!F$16+1&gt;0,PMT(M112/12,P112+1-SUM(AB$5:AB112),N112),Y112),0),0)</f>
        <v>-409.30242559822847</v>
      </c>
      <c r="AA112" s="19">
        <f t="shared" si="68"/>
        <v>-174.67008640657872</v>
      </c>
      <c r="AB112" s="20">
        <f>IF(AND(Dane_kredytowe!F$9&lt;B112,SUM(AB$5:AB111)&lt;P111),1," ")</f>
        <v>1</v>
      </c>
      <c r="AD112" s="75">
        <f>IF(OR(B112&lt;Dane_kredytowe!F$15,Dane_kredytowe!F$15=""),-F112+S112,0)</f>
        <v>0</v>
      </c>
      <c r="AE112" s="75">
        <f t="shared" si="77"/>
        <v>409.30242559822847</v>
      </c>
      <c r="AG112" s="22">
        <f>Dane_kredytowe!F$17-SUM(AI$5:AI111)+SUM(W$42:W112)-SUM(X$42:X112)</f>
        <v>86942.399999999994</v>
      </c>
      <c r="AH112" s="22">
        <f t="shared" si="78"/>
        <v>225.33</v>
      </c>
      <c r="AI112" s="22">
        <f t="shared" si="79"/>
        <v>264.26</v>
      </c>
      <c r="AJ112" s="22">
        <f t="shared" si="123"/>
        <v>489.59000000000003</v>
      </c>
      <c r="AK112" s="22">
        <f t="shared" si="80"/>
        <v>1571.08</v>
      </c>
      <c r="AL112" s="22">
        <f>Dane_kredytowe!F$8-SUM(AN$5:AN111)+SUM(R$42:R111)-SUM(S$42:S112)</f>
        <v>274166.76999999996</v>
      </c>
      <c r="AM112" s="22">
        <f t="shared" si="81"/>
        <v>710.55</v>
      </c>
      <c r="AN112" s="22">
        <f t="shared" si="82"/>
        <v>833.33</v>
      </c>
      <c r="AO112" s="22">
        <f t="shared" si="117"/>
        <v>1543.88</v>
      </c>
      <c r="AP112" s="22">
        <f t="shared" si="118"/>
        <v>27.199999999999818</v>
      </c>
      <c r="AR112" s="87">
        <f t="shared" si="83"/>
        <v>40513</v>
      </c>
      <c r="AS112" s="23">
        <f>AS$5+SUM(AV$5:AV111)-SUM(X$5:X112)+SUM(W$5:W112)</f>
        <v>132330.95610344707</v>
      </c>
      <c r="AT112" s="22">
        <f t="shared" si="84"/>
        <v>-342.95772790143366</v>
      </c>
      <c r="AU112" s="22">
        <f>IF(AB112=1,IF(Q112="tak",AT112,PMT(M112/12,P112+1-SUM(AB$5:AB112),AS112)),0)</f>
        <v>-598.2697457278291</v>
      </c>
      <c r="AV112" s="22">
        <f t="shared" si="119"/>
        <v>-255.31201782639545</v>
      </c>
      <c r="AW112" s="22">
        <f t="shared" si="85"/>
        <v>-1863.9093928150514</v>
      </c>
      <c r="AY112" s="23">
        <f>AY$5+SUM(BA$5:BA111)+SUM(W$5:W111)-SUM(X$5:X111)</f>
        <v>127081.90143784184</v>
      </c>
      <c r="AZ112" s="23">
        <f t="shared" si="86"/>
        <v>-342.95772790143366</v>
      </c>
      <c r="BA112" s="23">
        <f t="shared" si="87"/>
        <v>-386.27</v>
      </c>
      <c r="BB112" s="23">
        <f t="shared" ref="BB112:BB175" si="124">BA112+AZ112</f>
        <v>-729.22772790143358</v>
      </c>
      <c r="BC112" s="23">
        <f t="shared" si="88"/>
        <v>-2271.9089862769165</v>
      </c>
      <c r="BE112" s="88">
        <f t="shared" si="89"/>
        <v>3.9199999999999999E-2</v>
      </c>
      <c r="BF112" s="89">
        <f>BE112+Dane_kredytowe!F$12</f>
        <v>6.9199999999999998E-2</v>
      </c>
      <c r="BG112" s="23">
        <f>BG$5+SUM(BH$5:BH111)+SUM(R$5:R111)-SUM(S$5:S111)</f>
        <v>292662.53436038014</v>
      </c>
      <c r="BH112" s="22">
        <f t="shared" si="69"/>
        <v>-299.70361383282966</v>
      </c>
      <c r="BI112" s="22">
        <f t="shared" si="121"/>
        <v>-1687.6872814781921</v>
      </c>
      <c r="BJ112" s="22">
        <f>IF(U112&lt;0,PMT(BF112/12,Dane_kredytowe!F$13-SUM(AB$5:AB112)+1,BG112),0)</f>
        <v>-1987.3908953110217</v>
      </c>
      <c r="BL112" s="23">
        <f>BL$5+SUM(BN$5:BN111)+SUM(R$5:R111)-SUM(S$5:S111)</f>
        <v>274166.66666666669</v>
      </c>
      <c r="BM112" s="23">
        <f t="shared" si="90"/>
        <v>-1581.0277777777781</v>
      </c>
      <c r="BN112" s="23">
        <f t="shared" si="91"/>
        <v>-833.33333333333337</v>
      </c>
      <c r="BO112" s="23">
        <f t="shared" si="92"/>
        <v>-2414.3611111111113</v>
      </c>
      <c r="BQ112" s="89">
        <f t="shared" si="93"/>
        <v>5.5899999999999998E-2</v>
      </c>
      <c r="BR112" s="23">
        <f>BR$5+SUM(BS$5:BS111)+SUM(R$5:R111)-SUM(S$5:S111)+SUM(BV$5:BV111)</f>
        <v>312946.00250108773</v>
      </c>
      <c r="BS112" s="22">
        <f t="shared" si="107"/>
        <v>-403.40962748378024</v>
      </c>
      <c r="BT112" s="22">
        <f t="shared" si="108"/>
        <v>-1457.8067949842336</v>
      </c>
      <c r="BU112" s="22">
        <f>IF(U112&lt;0,PMT(BQ112/12,Dane_kredytowe!F$13-SUM(AB$5:AB112)+1,BR112),0)</f>
        <v>-1861.2164224680139</v>
      </c>
      <c r="BV112" s="22">
        <f t="shared" si="101"/>
        <v>547.77926430819457</v>
      </c>
      <c r="BX112" s="23">
        <f>BX$5+SUM(BZ$5:BZ111)+SUM(R$5:R111)-SUM(S$5:S111)+SUM(CB$5,CB111)</f>
        <v>274935.94165554293</v>
      </c>
      <c r="BY112" s="22">
        <f t="shared" si="94"/>
        <v>-1280.7432615454043</v>
      </c>
      <c r="BZ112" s="22">
        <f t="shared" si="95"/>
        <v>-835.67155518402103</v>
      </c>
      <c r="CA112" s="22">
        <f t="shared" si="109"/>
        <v>-2116.4148167294252</v>
      </c>
      <c r="CB112" s="22">
        <f t="shared" si="110"/>
        <v>802.97765856960586</v>
      </c>
      <c r="CD112" s="22">
        <f>CD$5+SUM(CE$5:CE111)+SUM(R$5:R111)-SUM(S$5:S111)-SUM(CF$5:CF111)</f>
        <v>309952.03045857989</v>
      </c>
      <c r="CE112" s="22">
        <f t="shared" si="102"/>
        <v>1280.7432615454043</v>
      </c>
      <c r="CF112" s="22">
        <f t="shared" si="96"/>
        <v>1313.4371581598193</v>
      </c>
      <c r="CG112" s="22">
        <f t="shared" si="103"/>
        <v>32.693896614415053</v>
      </c>
      <c r="CI112" s="89">
        <f t="shared" si="97"/>
        <v>0.57599999999999996</v>
      </c>
      <c r="CJ112" s="22">
        <f t="shared" si="98"/>
        <v>-756.54</v>
      </c>
      <c r="CK112" s="15">
        <f t="shared" si="104"/>
        <v>0</v>
      </c>
      <c r="CM112" s="22">
        <f t="shared" si="105"/>
        <v>-39824.707146298424</v>
      </c>
      <c r="CN112" s="15">
        <f t="shared" si="111"/>
        <v>-130.09404334457486</v>
      </c>
    </row>
    <row r="113" spans="1:92">
      <c r="A113" s="25">
        <v>2011</v>
      </c>
      <c r="B113" s="80">
        <v>40544</v>
      </c>
      <c r="C113" s="81">
        <f t="shared" si="72"/>
        <v>3.0503</v>
      </c>
      <c r="D113" s="82">
        <f t="shared" si="106"/>
        <v>3.1418090000000003</v>
      </c>
      <c r="E113" s="73">
        <f t="shared" si="115"/>
        <v>-409.30242559822847</v>
      </c>
      <c r="F113" s="19">
        <f t="shared" si="70"/>
        <v>-1285.9500444663447</v>
      </c>
      <c r="G113" s="19">
        <f t="shared" si="116"/>
        <v>-1290.7071494332183</v>
      </c>
      <c r="H113" s="19">
        <f t="shared" si="71"/>
        <v>-4.7571049668736123</v>
      </c>
      <c r="I113" s="62"/>
      <c r="J113" s="15" t="str">
        <f t="shared" si="114"/>
        <v>Ze względu na spadek kursu CHF, rata jest korzystniejsza niż bez klauzuli indeksacyjnej</v>
      </c>
      <c r="K113" s="15">
        <f>IF(B113&lt;=Dane_kredytowe!F$9,0,K112+1)</f>
        <v>33</v>
      </c>
      <c r="L113" s="83">
        <f t="shared" si="73"/>
        <v>1.1000000000000001E-3</v>
      </c>
      <c r="M113" s="84">
        <f>L113+Dane_kredytowe!F$12</f>
        <v>3.1099999999999999E-2</v>
      </c>
      <c r="N113" s="79">
        <f>MAX(Dane_kredytowe!F$17+SUM(AA$5:AA112)-SUM(X$5:X113)+SUM(W$5:W113),0)</f>
        <v>90358.708379824835</v>
      </c>
      <c r="O113" s="85">
        <f>MAX(Dane_kredytowe!F$8+SUM(V$5:V112)-SUM(S$5:S113)+SUM(R$5:R112),0)</f>
        <v>284939.99455031799</v>
      </c>
      <c r="P113" s="67">
        <f t="shared" si="122"/>
        <v>360</v>
      </c>
      <c r="Q113" s="127" t="str">
        <f>IF(AND(K113&gt;0,K113&lt;=Dane_kredytowe!F$16),"tak","nie")</f>
        <v>nie</v>
      </c>
      <c r="R113" s="69"/>
      <c r="S113" s="86">
        <f>IF(Dane_kredytowe!F$19=B113,O112+V112,_xlfn.XLOOKUP(B113,Dane_kredytowe!M$9:M$18,Dane_kredytowe!N$9:N$18,0))</f>
        <v>0</v>
      </c>
      <c r="T113" s="71">
        <f t="shared" si="74"/>
        <v>-738.46948587624081</v>
      </c>
      <c r="U113" s="72">
        <f>IF(Q113="tak",T113,IF(P113-SUM(AB$5:AB113)+1&gt;0,IF(Dane_kredytowe!F$9&lt;B113,IF(SUM(AB$5:AB113)-Dane_kredytowe!F$16+1&gt;0,PMT(M113/12,P113+1-SUM(AB$5:AB113),O113),T113),0),0))</f>
        <v>-1290.7071494332183</v>
      </c>
      <c r="V113" s="72">
        <f t="shared" si="99"/>
        <v>-552.23766355697751</v>
      </c>
      <c r="W113" s="19" t="str">
        <f t="shared" si="100"/>
        <v xml:space="preserve"> </v>
      </c>
      <c r="X113" s="19">
        <f t="shared" si="113"/>
        <v>0</v>
      </c>
      <c r="Y113" s="73">
        <f t="shared" si="76"/>
        <v>-234.17965255104602</v>
      </c>
      <c r="Z113" s="19">
        <f>IF(P113-SUM(AB$5:AB113)+1&gt;0,IF(Dane_kredytowe!F$9&lt;B113,IF(SUM(AB$5:AB113)-Dane_kredytowe!F$16+1&gt;0,PMT(M113/12,P113+1-SUM(AB$5:AB113),N113),Y113),0),0)</f>
        <v>-409.30242559822847</v>
      </c>
      <c r="AA113" s="19">
        <f t="shared" si="68"/>
        <v>-175.12277304718245</v>
      </c>
      <c r="AB113" s="20">
        <f>IF(AND(Dane_kredytowe!F$9&lt;B113,SUM(AB$5:AB112)&lt;P112),1," ")</f>
        <v>1</v>
      </c>
      <c r="AD113" s="75">
        <f>IF(OR(B113&lt;Dane_kredytowe!F$15,Dane_kredytowe!F$15=""),-F113+S113,0)</f>
        <v>0</v>
      </c>
      <c r="AE113" s="75">
        <f t="shared" si="77"/>
        <v>409.30242559822847</v>
      </c>
      <c r="AG113" s="22">
        <f>Dane_kredytowe!F$17-SUM(AI$5:AI112)+SUM(W$42:W113)-SUM(X$42:X113)</f>
        <v>86678.14</v>
      </c>
      <c r="AH113" s="22">
        <f t="shared" si="78"/>
        <v>224.64</v>
      </c>
      <c r="AI113" s="22">
        <f t="shared" si="79"/>
        <v>264.26</v>
      </c>
      <c r="AJ113" s="22">
        <f t="shared" si="123"/>
        <v>488.9</v>
      </c>
      <c r="AK113" s="22">
        <f t="shared" si="80"/>
        <v>1536.03</v>
      </c>
      <c r="AL113" s="22">
        <f>Dane_kredytowe!F$8-SUM(AN$5:AN112)+SUM(R$42:R112)-SUM(S$42:S113)</f>
        <v>273333.44</v>
      </c>
      <c r="AM113" s="22">
        <f t="shared" si="81"/>
        <v>708.39</v>
      </c>
      <c r="AN113" s="22">
        <f t="shared" si="82"/>
        <v>833.33</v>
      </c>
      <c r="AO113" s="22">
        <f t="shared" si="117"/>
        <v>1541.72</v>
      </c>
      <c r="AP113" s="22">
        <f t="shared" si="118"/>
        <v>-5.6900000000000546</v>
      </c>
      <c r="AR113" s="87">
        <f t="shared" si="83"/>
        <v>40544</v>
      </c>
      <c r="AS113" s="23">
        <f>AS$5+SUM(AV$5:AV112)-SUM(X$5:X113)+SUM(W$5:W113)</f>
        <v>132075.64408562068</v>
      </c>
      <c r="AT113" s="22">
        <f t="shared" si="84"/>
        <v>-342.29604425523354</v>
      </c>
      <c r="AU113" s="22">
        <f>IF(AB113=1,IF(Q113="tak",AT113,PMT(M113/12,P113+1-SUM(AB$5:AB113),AS113)),0)</f>
        <v>-598.2697457278291</v>
      </c>
      <c r="AV113" s="22">
        <f t="shared" si="119"/>
        <v>-255.97370147259556</v>
      </c>
      <c r="AW113" s="22">
        <f t="shared" si="85"/>
        <v>-1824.9022053935971</v>
      </c>
      <c r="AY113" s="23">
        <f>AY$5+SUM(BA$5:BA112)+SUM(W$5:W112)-SUM(X$5:X112)</f>
        <v>126695.63143784183</v>
      </c>
      <c r="AZ113" s="23">
        <f t="shared" si="86"/>
        <v>-342.29604425523354</v>
      </c>
      <c r="BA113" s="23">
        <f t="shared" si="87"/>
        <v>-386.27</v>
      </c>
      <c r="BB113" s="23">
        <f t="shared" si="124"/>
        <v>-728.56604425523346</v>
      </c>
      <c r="BC113" s="23">
        <f t="shared" si="88"/>
        <v>-2222.3450047917386</v>
      </c>
      <c r="BE113" s="88">
        <f t="shared" si="89"/>
        <v>4.0099999999999997E-2</v>
      </c>
      <c r="BF113" s="89">
        <f>BE113+Dane_kredytowe!F$12</f>
        <v>7.0099999999999996E-2</v>
      </c>
      <c r="BG113" s="23">
        <f>BG$5+SUM(BH$5:BH112)+SUM(R$5:R112)-SUM(S$5:S112)</f>
        <v>292362.83074654732</v>
      </c>
      <c r="BH113" s="22">
        <f t="shared" si="69"/>
        <v>-296.69287957128654</v>
      </c>
      <c r="BI113" s="22">
        <f t="shared" si="121"/>
        <v>-1707.8862029444138</v>
      </c>
      <c r="BJ113" s="22">
        <f>IF(U113&lt;0,PMT(BF113/12,Dane_kredytowe!F$13-SUM(AB$5:AB113)+1,BG113),0)</f>
        <v>-2004.5790825157003</v>
      </c>
      <c r="BL113" s="23">
        <f>BL$5+SUM(BN$5:BN112)+SUM(R$5:R112)-SUM(S$5:S112)</f>
        <v>273333.33333333337</v>
      </c>
      <c r="BM113" s="23">
        <f t="shared" si="90"/>
        <v>-1596.7222222222224</v>
      </c>
      <c r="BN113" s="23">
        <f t="shared" si="91"/>
        <v>-833.33333333333348</v>
      </c>
      <c r="BO113" s="23">
        <f t="shared" si="92"/>
        <v>-2430.0555555555557</v>
      </c>
      <c r="BQ113" s="89">
        <f t="shared" si="93"/>
        <v>5.6799999999999996E-2</v>
      </c>
      <c r="BR113" s="23">
        <f>BR$5+SUM(BS$5:BS112)+SUM(R$5:R112)-SUM(S$5:S112)+SUM(BV$5:BV112)</f>
        <v>313090.37213791208</v>
      </c>
      <c r="BS113" s="22">
        <f t="shared" si="107"/>
        <v>-399.86518445555862</v>
      </c>
      <c r="BT113" s="22">
        <f t="shared" si="108"/>
        <v>-1481.9610947861172</v>
      </c>
      <c r="BU113" s="22">
        <f>IF(U113&lt;0,PMT(BQ113/12,Dane_kredytowe!F$13-SUM(AB$5:AB113)+1,BR113),0)</f>
        <v>-1881.8262792416758</v>
      </c>
      <c r="BV113" s="22">
        <f t="shared" si="101"/>
        <v>595.87623477533111</v>
      </c>
      <c r="BX113" s="23">
        <f>BX$5+SUM(BZ$5:BZ112)+SUM(R$5:R112)-SUM(S$5:S112)+SUM(CB$5,CB112)</f>
        <v>274037.52889284171</v>
      </c>
      <c r="BY113" s="22">
        <f t="shared" si="94"/>
        <v>-1297.1109700927841</v>
      </c>
      <c r="BZ113" s="22">
        <f t="shared" si="95"/>
        <v>-835.48027101476134</v>
      </c>
      <c r="CA113" s="22">
        <f t="shared" si="109"/>
        <v>-2132.5912411075456</v>
      </c>
      <c r="CB113" s="22">
        <f t="shared" si="110"/>
        <v>846.64119664120085</v>
      </c>
      <c r="CD113" s="22">
        <f>CD$5+SUM(CE$5:CE112)+SUM(R$5:R112)-SUM(S$5:S112)-SUM(CF$5:CF112)</f>
        <v>309919.33656196547</v>
      </c>
      <c r="CE113" s="22">
        <f t="shared" si="102"/>
        <v>1297.1109700927841</v>
      </c>
      <c r="CF113" s="22">
        <f t="shared" si="96"/>
        <v>1285.9500444663447</v>
      </c>
      <c r="CG113" s="22">
        <f t="shared" si="103"/>
        <v>-11.160925626439393</v>
      </c>
      <c r="CI113" s="89">
        <f t="shared" si="97"/>
        <v>0.55730000000000002</v>
      </c>
      <c r="CJ113" s="22">
        <f t="shared" si="98"/>
        <v>-716.66</v>
      </c>
      <c r="CK113" s="15">
        <f t="shared" si="104"/>
        <v>0</v>
      </c>
      <c r="CM113" s="22">
        <f t="shared" si="105"/>
        <v>-41110.657190764767</v>
      </c>
      <c r="CN113" s="15">
        <f t="shared" si="111"/>
        <v>-137.37811277913892</v>
      </c>
    </row>
    <row r="114" spans="1:92">
      <c r="A114" s="25"/>
      <c r="B114" s="80">
        <v>40575</v>
      </c>
      <c r="C114" s="81">
        <f t="shared" si="72"/>
        <v>3.0312000000000001</v>
      </c>
      <c r="D114" s="82">
        <f t="shared" si="106"/>
        <v>3.1221360000000002</v>
      </c>
      <c r="E114" s="73">
        <f t="shared" si="115"/>
        <v>-409.30242559822835</v>
      </c>
      <c r="F114" s="19">
        <f t="shared" si="70"/>
        <v>-1277.8978378475504</v>
      </c>
      <c r="G114" s="19">
        <f t="shared" si="116"/>
        <v>-1290.7071494332181</v>
      </c>
      <c r="H114" s="19">
        <f t="shared" si="71"/>
        <v>-12.809311585667729</v>
      </c>
      <c r="I114" s="62"/>
      <c r="J114" s="15" t="str">
        <f t="shared" si="114"/>
        <v>Ze względu na spadek kursu CHF, rata jest korzystniejsza niż bez klauzuli indeksacyjnej</v>
      </c>
      <c r="K114" s="15">
        <f>IF(B114&lt;=Dane_kredytowe!F$9,0,K113+1)</f>
        <v>34</v>
      </c>
      <c r="L114" s="83">
        <f t="shared" si="73"/>
        <v>1.1000000000000001E-3</v>
      </c>
      <c r="M114" s="84">
        <f>L114+Dane_kredytowe!F$12</f>
        <v>3.1099999999999999E-2</v>
      </c>
      <c r="N114" s="79">
        <f>MAX(Dane_kredytowe!F$17+SUM(AA$5:AA113)-SUM(X$5:X114)+SUM(W$5:W114),0)</f>
        <v>90183.585606777648</v>
      </c>
      <c r="O114" s="85">
        <f>MAX(Dane_kredytowe!F$8+SUM(V$5:V113)-SUM(S$5:S114)+SUM(R$5:R113),0)</f>
        <v>284387.75688676105</v>
      </c>
      <c r="P114" s="67">
        <f t="shared" si="122"/>
        <v>360</v>
      </c>
      <c r="Q114" s="127" t="str">
        <f>IF(AND(K114&gt;0,K114&lt;=Dane_kredytowe!F$16),"tak","nie")</f>
        <v>nie</v>
      </c>
      <c r="R114" s="69"/>
      <c r="S114" s="86">
        <f>IF(Dane_kredytowe!F$19=B114,O113+V113,_xlfn.XLOOKUP(B114,Dane_kredytowe!M$9:M$18,Dane_kredytowe!N$9:N$18,0))</f>
        <v>0</v>
      </c>
      <c r="T114" s="71">
        <f t="shared" si="74"/>
        <v>-737.03826993152234</v>
      </c>
      <c r="U114" s="72">
        <f>IF(Q114="tak",T114,IF(P114-SUM(AB$5:AB114)+1&gt;0,IF(Dane_kredytowe!F$9&lt;B114,IF(SUM(AB$5:AB114)-Dane_kredytowe!F$16+1&gt;0,PMT(M114/12,P114+1-SUM(AB$5:AB114),O114),T114),0),0))</f>
        <v>-1290.7071494332181</v>
      </c>
      <c r="V114" s="72">
        <f t="shared" si="99"/>
        <v>-553.66887950169576</v>
      </c>
      <c r="W114" s="19" t="str">
        <f t="shared" si="100"/>
        <v xml:space="preserve"> </v>
      </c>
      <c r="X114" s="19">
        <f t="shared" si="113"/>
        <v>0</v>
      </c>
      <c r="Y114" s="73">
        <f t="shared" si="76"/>
        <v>-233.72579269756542</v>
      </c>
      <c r="Z114" s="19">
        <f>IF(P114-SUM(AB$5:AB114)+1&gt;0,IF(Dane_kredytowe!F$9&lt;B114,IF(SUM(AB$5:AB114)-Dane_kredytowe!F$16+1&gt;0,PMT(M114/12,P114+1-SUM(AB$5:AB114),N114),Y114),0),0)</f>
        <v>-409.30242559822835</v>
      </c>
      <c r="AA114" s="19">
        <f t="shared" si="68"/>
        <v>-175.57663290066293</v>
      </c>
      <c r="AB114" s="20">
        <f>IF(AND(Dane_kredytowe!F$9&lt;B114,SUM(AB$5:AB113)&lt;P113),1," ")</f>
        <v>1</v>
      </c>
      <c r="AD114" s="75">
        <f>IF(OR(B114&lt;Dane_kredytowe!F$15,Dane_kredytowe!F$15=""),-F114+S114,0)</f>
        <v>0</v>
      </c>
      <c r="AE114" s="75">
        <f t="shared" si="77"/>
        <v>409.30242559822835</v>
      </c>
      <c r="AG114" s="22">
        <f>Dane_kredytowe!F$17-SUM(AI$5:AI113)+SUM(W$42:W114)-SUM(X$42:X114)</f>
        <v>86413.88</v>
      </c>
      <c r="AH114" s="22">
        <f t="shared" si="78"/>
        <v>223.96</v>
      </c>
      <c r="AI114" s="22">
        <f t="shared" si="79"/>
        <v>264.26</v>
      </c>
      <c r="AJ114" s="22">
        <f t="shared" si="123"/>
        <v>488.22</v>
      </c>
      <c r="AK114" s="22">
        <f t="shared" si="80"/>
        <v>1524.29</v>
      </c>
      <c r="AL114" s="22">
        <f>Dane_kredytowe!F$8-SUM(AN$5:AN113)+SUM(R$42:R113)-SUM(S$42:S114)</f>
        <v>272500.11</v>
      </c>
      <c r="AM114" s="22">
        <f t="shared" si="81"/>
        <v>706.23</v>
      </c>
      <c r="AN114" s="22">
        <f t="shared" si="82"/>
        <v>833.33</v>
      </c>
      <c r="AO114" s="22">
        <f t="shared" si="117"/>
        <v>1539.56</v>
      </c>
      <c r="AP114" s="22">
        <f t="shared" si="118"/>
        <v>-15.269999999999982</v>
      </c>
      <c r="AR114" s="87">
        <f t="shared" si="83"/>
        <v>40575</v>
      </c>
      <c r="AS114" s="23">
        <f>AS$5+SUM(AV$5:AV113)-SUM(X$5:X114)+SUM(W$5:W114)</f>
        <v>131819.67038414808</v>
      </c>
      <c r="AT114" s="22">
        <f t="shared" si="84"/>
        <v>-341.63264574558372</v>
      </c>
      <c r="AU114" s="22">
        <f>IF(AB114=1,IF(Q114="tak",AT114,PMT(M114/12,P114+1-SUM(AB$5:AB114),AS114)),0)</f>
        <v>-598.26974572782888</v>
      </c>
      <c r="AV114" s="22">
        <f t="shared" si="119"/>
        <v>-256.63709998224516</v>
      </c>
      <c r="AW114" s="22">
        <f t="shared" si="85"/>
        <v>-1813.475253250195</v>
      </c>
      <c r="AY114" s="23">
        <f>AY$5+SUM(BA$5:BA113)+SUM(W$5:W113)-SUM(X$5:X113)</f>
        <v>126309.36143784184</v>
      </c>
      <c r="AZ114" s="23">
        <f t="shared" si="86"/>
        <v>-341.63264574558372</v>
      </c>
      <c r="BA114" s="23">
        <f t="shared" si="87"/>
        <v>-386.27</v>
      </c>
      <c r="BB114" s="23">
        <f t="shared" si="124"/>
        <v>-727.90264574558364</v>
      </c>
      <c r="BC114" s="23">
        <f t="shared" si="88"/>
        <v>-2206.4184997840134</v>
      </c>
      <c r="BE114" s="88">
        <f t="shared" si="89"/>
        <v>4.1099999999999998E-2</v>
      </c>
      <c r="BF114" s="89">
        <f>BE114+Dane_kredytowe!F$12</f>
        <v>7.1099999999999997E-2</v>
      </c>
      <c r="BG114" s="23">
        <f>BG$5+SUM(BH$5:BH113)+SUM(R$5:R113)-SUM(S$5:S113)</f>
        <v>292066.13786697603</v>
      </c>
      <c r="BH114" s="22">
        <f t="shared" si="69"/>
        <v>-293.2226332993182</v>
      </c>
      <c r="BI114" s="22">
        <f t="shared" si="121"/>
        <v>-1730.4918668618329</v>
      </c>
      <c r="BJ114" s="22">
        <f>IF(U114&lt;0,PMT(BF114/12,Dane_kredytowe!F$13-SUM(AB$5:AB114)+1,BG114),0)</f>
        <v>-2023.7145001611511</v>
      </c>
      <c r="BL114" s="23">
        <f>BL$5+SUM(BN$5:BN113)+SUM(R$5:R113)-SUM(S$5:S113)</f>
        <v>272500</v>
      </c>
      <c r="BM114" s="23">
        <f t="shared" si="90"/>
        <v>-1614.5625</v>
      </c>
      <c r="BN114" s="23">
        <f t="shared" si="91"/>
        <v>-833.33333333333337</v>
      </c>
      <c r="BO114" s="23">
        <f t="shared" si="92"/>
        <v>-2447.8958333333335</v>
      </c>
      <c r="BQ114" s="89">
        <f t="shared" si="93"/>
        <v>5.7799999999999997E-2</v>
      </c>
      <c r="BR114" s="23">
        <f>BR$5+SUM(BS$5:BS113)+SUM(R$5:R113)-SUM(S$5:S113)+SUM(BV$5:BV113)</f>
        <v>313286.38318823191</v>
      </c>
      <c r="BS114" s="22">
        <f t="shared" si="107"/>
        <v>-395.77617531153078</v>
      </c>
      <c r="BT114" s="22">
        <f t="shared" si="108"/>
        <v>-1508.996079023317</v>
      </c>
      <c r="BU114" s="22">
        <f>IF(U114&lt;0,PMT(BQ114/12,Dane_kredytowe!F$13-SUM(AB$5:AB114)+1,BR114),0)</f>
        <v>-1904.7722543348477</v>
      </c>
      <c r="BV114" s="22">
        <f t="shared" si="101"/>
        <v>626.87441648729737</v>
      </c>
      <c r="BX114" s="23">
        <f>BX$5+SUM(BZ$5:BZ113)+SUM(R$5:R113)-SUM(S$5:S113)+SUM(CB$5,CB113)</f>
        <v>273245.7121598986</v>
      </c>
      <c r="BY114" s="22">
        <f t="shared" si="94"/>
        <v>-1316.1335135701781</v>
      </c>
      <c r="BZ114" s="22">
        <f t="shared" si="95"/>
        <v>-835.61379865412414</v>
      </c>
      <c r="CA114" s="22">
        <f t="shared" si="109"/>
        <v>-2151.7473122243023</v>
      </c>
      <c r="CB114" s="22">
        <f t="shared" si="110"/>
        <v>873.84947437675191</v>
      </c>
      <c r="CD114" s="22">
        <f>CD$5+SUM(CE$5:CE113)+SUM(R$5:R113)-SUM(S$5:S113)-SUM(CF$5:CF113)</f>
        <v>309930.49748759193</v>
      </c>
      <c r="CE114" s="22">
        <f t="shared" si="102"/>
        <v>1316.1335135701781</v>
      </c>
      <c r="CF114" s="22">
        <f t="shared" si="96"/>
        <v>1277.8978378475504</v>
      </c>
      <c r="CG114" s="22">
        <f t="shared" si="103"/>
        <v>-38.235675722627775</v>
      </c>
      <c r="CI114" s="89">
        <f t="shared" si="97"/>
        <v>0.55420000000000003</v>
      </c>
      <c r="CJ114" s="22">
        <f t="shared" si="98"/>
        <v>-708.21</v>
      </c>
      <c r="CK114" s="15">
        <f t="shared" si="104"/>
        <v>0</v>
      </c>
      <c r="CM114" s="22">
        <f t="shared" si="105"/>
        <v>-42388.555028612318</v>
      </c>
      <c r="CN114" s="15">
        <f t="shared" si="111"/>
        <v>-145.18080097299719</v>
      </c>
    </row>
    <row r="115" spans="1:92">
      <c r="A115" s="25"/>
      <c r="B115" s="80">
        <v>40603</v>
      </c>
      <c r="C115" s="81">
        <f t="shared" si="72"/>
        <v>3.1187999999999998</v>
      </c>
      <c r="D115" s="82">
        <f t="shared" si="106"/>
        <v>3.212364</v>
      </c>
      <c r="E115" s="73">
        <f t="shared" si="115"/>
        <v>-409.30242559822847</v>
      </c>
      <c r="F115" s="19">
        <f t="shared" si="70"/>
        <v>-1314.8283771044275</v>
      </c>
      <c r="G115" s="19">
        <f t="shared" si="116"/>
        <v>-1290.7071494332183</v>
      </c>
      <c r="H115" s="19">
        <f t="shared" si="71"/>
        <v>24.121227671209226</v>
      </c>
      <c r="I115" s="62"/>
      <c r="J115" s="15" t="str">
        <f t="shared" si="114"/>
        <v xml:space="preserve"> </v>
      </c>
      <c r="K115" s="15">
        <f>IF(B115&lt;=Dane_kredytowe!F$9,0,K114+1)</f>
        <v>35</v>
      </c>
      <c r="L115" s="83">
        <f t="shared" si="73"/>
        <v>1.1000000000000001E-3</v>
      </c>
      <c r="M115" s="84">
        <f>L115+Dane_kredytowe!F$12</f>
        <v>3.1099999999999999E-2</v>
      </c>
      <c r="N115" s="79">
        <f>MAX(Dane_kredytowe!F$17+SUM(AA$5:AA114)-SUM(X$5:X115)+SUM(W$5:W115),0)</f>
        <v>90008.008973876989</v>
      </c>
      <c r="O115" s="85">
        <f>MAX(Dane_kredytowe!F$8+SUM(V$5:V114)-SUM(S$5:S115)+SUM(R$5:R114),0)</f>
        <v>283834.08800725936</v>
      </c>
      <c r="P115" s="67">
        <f t="shared" si="122"/>
        <v>360</v>
      </c>
      <c r="Q115" s="127" t="str">
        <f>IF(AND(K115&gt;0,K115&lt;=Dane_kredytowe!F$16),"tak","nie")</f>
        <v>nie</v>
      </c>
      <c r="R115" s="69"/>
      <c r="S115" s="86">
        <f>IF(Dane_kredytowe!F$19=B115,O114+V114,_xlfn.XLOOKUP(B115,Dane_kredytowe!M$9:M$18,Dane_kredytowe!N$9:N$18,0))</f>
        <v>0</v>
      </c>
      <c r="T115" s="71">
        <f t="shared" si="74"/>
        <v>-735.60334475214722</v>
      </c>
      <c r="U115" s="72">
        <f>IF(Q115="tak",T115,IF(P115-SUM(AB$5:AB115)+1&gt;0,IF(Dane_kredytowe!F$9&lt;B115,IF(SUM(AB$5:AB115)-Dane_kredytowe!F$16+1&gt;0,PMT(M115/12,P115+1-SUM(AB$5:AB115),O115),T115),0),0))</f>
        <v>-1290.7071494332183</v>
      </c>
      <c r="V115" s="72">
        <f t="shared" si="99"/>
        <v>-555.1038046810711</v>
      </c>
      <c r="W115" s="19" t="str">
        <f t="shared" si="100"/>
        <v xml:space="preserve"> </v>
      </c>
      <c r="X115" s="19">
        <f t="shared" si="113"/>
        <v>0</v>
      </c>
      <c r="Y115" s="73">
        <f t="shared" si="76"/>
        <v>-233.27075659063121</v>
      </c>
      <c r="Z115" s="19">
        <f>IF(P115-SUM(AB$5:AB115)+1&gt;0,IF(Dane_kredytowe!F$9&lt;B115,IF(SUM(AB$5:AB115)-Dane_kredytowe!F$16+1&gt;0,PMT(M115/12,P115+1-SUM(AB$5:AB115),N115),Y115),0),0)</f>
        <v>-409.30242559822847</v>
      </c>
      <c r="AA115" s="19">
        <f t="shared" si="68"/>
        <v>-176.03166900759726</v>
      </c>
      <c r="AB115" s="20">
        <f>IF(AND(Dane_kredytowe!F$9&lt;B115,SUM(AB$5:AB114)&lt;P114),1," ")</f>
        <v>1</v>
      </c>
      <c r="AD115" s="75">
        <f>IF(OR(B115&lt;Dane_kredytowe!F$15,Dane_kredytowe!F$15=""),-F115+S115,0)</f>
        <v>0</v>
      </c>
      <c r="AE115" s="75">
        <f t="shared" si="77"/>
        <v>409.30242559822847</v>
      </c>
      <c r="AG115" s="22">
        <f>Dane_kredytowe!F$17-SUM(AI$5:AI114)+SUM(W$42:W115)-SUM(X$42:X115)</f>
        <v>86149.62</v>
      </c>
      <c r="AH115" s="22">
        <f t="shared" si="78"/>
        <v>223.27</v>
      </c>
      <c r="AI115" s="22">
        <f t="shared" si="79"/>
        <v>264.26</v>
      </c>
      <c r="AJ115" s="22">
        <f t="shared" si="123"/>
        <v>487.53</v>
      </c>
      <c r="AK115" s="22">
        <f t="shared" si="80"/>
        <v>1566.12</v>
      </c>
      <c r="AL115" s="22">
        <f>Dane_kredytowe!F$8-SUM(AN$5:AN114)+SUM(R$42:R114)-SUM(S$42:S115)</f>
        <v>271666.77999999997</v>
      </c>
      <c r="AM115" s="22">
        <f t="shared" si="81"/>
        <v>704.07</v>
      </c>
      <c r="AN115" s="22">
        <f t="shared" si="82"/>
        <v>833.33</v>
      </c>
      <c r="AO115" s="22">
        <f t="shared" si="117"/>
        <v>1537.4</v>
      </c>
      <c r="AP115" s="22">
        <f t="shared" si="118"/>
        <v>28.7199999999998</v>
      </c>
      <c r="AR115" s="87">
        <f t="shared" si="83"/>
        <v>40603</v>
      </c>
      <c r="AS115" s="23">
        <f>AS$5+SUM(AV$5:AV114)-SUM(X$5:X115)+SUM(W$5:W115)</f>
        <v>131563.03328416581</v>
      </c>
      <c r="AT115" s="22">
        <f t="shared" si="84"/>
        <v>-340.9675279281297</v>
      </c>
      <c r="AU115" s="22">
        <f>IF(AB115=1,IF(Q115="tak",AT115,PMT(M115/12,P115+1-SUM(AB$5:AB115),AS115)),0)</f>
        <v>-598.26974572782899</v>
      </c>
      <c r="AV115" s="22">
        <f t="shared" si="119"/>
        <v>-257.30221779969929</v>
      </c>
      <c r="AW115" s="22">
        <f t="shared" si="85"/>
        <v>-1865.883682975953</v>
      </c>
      <c r="AY115" s="23">
        <f>AY$5+SUM(BA$5:BA114)+SUM(W$5:W114)-SUM(X$5:X114)</f>
        <v>125923.09143784184</v>
      </c>
      <c r="AZ115" s="23">
        <f t="shared" si="86"/>
        <v>-340.9675279281297</v>
      </c>
      <c r="BA115" s="23">
        <f t="shared" si="87"/>
        <v>-386.27</v>
      </c>
      <c r="BB115" s="23">
        <f t="shared" si="124"/>
        <v>-727.23752792812968</v>
      </c>
      <c r="BC115" s="23">
        <f t="shared" si="88"/>
        <v>-2268.1084021022507</v>
      </c>
      <c r="BE115" s="88">
        <f t="shared" si="89"/>
        <v>4.1799999999999997E-2</v>
      </c>
      <c r="BF115" s="89">
        <f>BE115+Dane_kredytowe!F$12</f>
        <v>7.1800000000000003E-2</v>
      </c>
      <c r="BG115" s="23">
        <f>BG$5+SUM(BH$5:BH114)+SUM(R$5:R114)-SUM(S$5:S114)</f>
        <v>291772.91523367673</v>
      </c>
      <c r="BH115" s="22">
        <f t="shared" si="69"/>
        <v>-291.35506545522958</v>
      </c>
      <c r="BI115" s="22">
        <f t="shared" si="121"/>
        <v>-1745.7746094814993</v>
      </c>
      <c r="BJ115" s="22">
        <f>IF(U115&lt;0,PMT(BF115/12,Dane_kredytowe!F$13-SUM(AB$5:AB115)+1,BG115),0)</f>
        <v>-2037.1296749367289</v>
      </c>
      <c r="BL115" s="23">
        <f>BL$5+SUM(BN$5:BN114)+SUM(R$5:R114)-SUM(S$5:S114)</f>
        <v>271666.66666666669</v>
      </c>
      <c r="BM115" s="23">
        <f t="shared" si="90"/>
        <v>-1625.4722222222224</v>
      </c>
      <c r="BN115" s="23">
        <f t="shared" si="91"/>
        <v>-833.33333333333337</v>
      </c>
      <c r="BO115" s="23">
        <f t="shared" si="92"/>
        <v>-2458.8055555555557</v>
      </c>
      <c r="BQ115" s="89">
        <f t="shared" si="93"/>
        <v>5.8499999999999996E-2</v>
      </c>
      <c r="BR115" s="23">
        <f>BR$5+SUM(BS$5:BS114)+SUM(R$5:R114)-SUM(S$5:S114)+SUM(BV$5:BV114)</f>
        <v>313517.48142940766</v>
      </c>
      <c r="BS115" s="22">
        <f t="shared" si="107"/>
        <v>-393.79630730463373</v>
      </c>
      <c r="BT115" s="22">
        <f t="shared" si="108"/>
        <v>-1528.3977219683622</v>
      </c>
      <c r="BU115" s="22">
        <f>IF(U115&lt;0,PMT(BQ115/12,Dane_kredytowe!F$13-SUM(AB$5:AB115)+1,BR115),0)</f>
        <v>-1922.194029272996</v>
      </c>
      <c r="BV115" s="22">
        <f t="shared" si="101"/>
        <v>607.36565216856843</v>
      </c>
      <c r="BX115" s="23">
        <f>BX$5+SUM(BZ$5:BZ114)+SUM(R$5:R114)-SUM(S$5:S114)+SUM(CB$5,CB114)</f>
        <v>272437.30663898005</v>
      </c>
      <c r="BY115" s="22">
        <f t="shared" si="94"/>
        <v>-1328.1318698650277</v>
      </c>
      <c r="BZ115" s="22">
        <f t="shared" si="95"/>
        <v>-835.69725962877317</v>
      </c>
      <c r="CA115" s="22">
        <f t="shared" si="109"/>
        <v>-2163.8291294938008</v>
      </c>
      <c r="CB115" s="22">
        <f t="shared" si="110"/>
        <v>849.00075238937325</v>
      </c>
      <c r="CD115" s="22">
        <f>CD$5+SUM(CE$5:CE114)+SUM(R$5:R114)-SUM(S$5:S114)-SUM(CF$5:CF114)</f>
        <v>309968.73316331458</v>
      </c>
      <c r="CE115" s="22">
        <f t="shared" si="102"/>
        <v>1328.1318698650277</v>
      </c>
      <c r="CF115" s="22">
        <f t="shared" si="96"/>
        <v>1314.8283771044275</v>
      </c>
      <c r="CG115" s="22">
        <f t="shared" si="103"/>
        <v>-13.303492760600193</v>
      </c>
      <c r="CI115" s="89">
        <f t="shared" si="97"/>
        <v>0.5403</v>
      </c>
      <c r="CJ115" s="22">
        <f t="shared" si="98"/>
        <v>-710.4</v>
      </c>
      <c r="CK115" s="15">
        <f t="shared" si="104"/>
        <v>0</v>
      </c>
      <c r="CM115" s="22">
        <f t="shared" si="105"/>
        <v>-43703.383405716748</v>
      </c>
      <c r="CN115" s="15">
        <f t="shared" si="111"/>
        <v>-152.23345219657998</v>
      </c>
    </row>
    <row r="116" spans="1:92">
      <c r="A116" s="25"/>
      <c r="B116" s="80">
        <v>40634</v>
      </c>
      <c r="C116" s="81">
        <f t="shared" si="72"/>
        <v>3.0592000000000001</v>
      </c>
      <c r="D116" s="82">
        <f t="shared" si="106"/>
        <v>3.1509760000000004</v>
      </c>
      <c r="E116" s="73">
        <f t="shared" si="115"/>
        <v>-409.30242559822847</v>
      </c>
      <c r="F116" s="19">
        <f t="shared" si="70"/>
        <v>-1289.7021198018037</v>
      </c>
      <c r="G116" s="19">
        <f t="shared" si="116"/>
        <v>-1290.7071494332183</v>
      </c>
      <c r="H116" s="19">
        <f t="shared" si="71"/>
        <v>-1.0050296314145726</v>
      </c>
      <c r="I116" s="62"/>
      <c r="J116" s="15" t="str">
        <f t="shared" si="114"/>
        <v>Ze względu na spadek kursu CHF, rata jest korzystniejsza niż bez klauzuli indeksacyjnej</v>
      </c>
      <c r="K116" s="15">
        <f>IF(B116&lt;=Dane_kredytowe!F$9,0,K115+1)</f>
        <v>36</v>
      </c>
      <c r="L116" s="83">
        <f t="shared" si="73"/>
        <v>1.1000000000000001E-3</v>
      </c>
      <c r="M116" s="84">
        <f>L116+Dane_kredytowe!F$12</f>
        <v>3.1099999999999999E-2</v>
      </c>
      <c r="N116" s="79">
        <f>MAX(Dane_kredytowe!F$17+SUM(AA$5:AA115)-SUM(X$5:X116)+SUM(W$5:W116),0)</f>
        <v>89831.97730486939</v>
      </c>
      <c r="O116" s="85">
        <f>MAX(Dane_kredytowe!F$8+SUM(V$5:V115)-SUM(S$5:S116)+SUM(R$5:R115),0)</f>
        <v>283278.98420257826</v>
      </c>
      <c r="P116" s="67">
        <f t="shared" si="122"/>
        <v>360</v>
      </c>
      <c r="Q116" s="127" t="str">
        <f>IF(AND(K116&gt;0,K116&lt;=Dane_kredytowe!F$16),"tak","nie")</f>
        <v>nie</v>
      </c>
      <c r="R116" s="69"/>
      <c r="S116" s="86">
        <f>IF(Dane_kredytowe!F$19=B116,O115+V115,_xlfn.XLOOKUP(B116,Dane_kredytowe!M$9:M$18,Dane_kredytowe!N$9:N$18,0))</f>
        <v>0</v>
      </c>
      <c r="T116" s="71">
        <f t="shared" si="74"/>
        <v>-734.16470072501534</v>
      </c>
      <c r="U116" s="72">
        <f>IF(Q116="tak",T116,IF(P116-SUM(AB$5:AB116)+1&gt;0,IF(Dane_kredytowe!F$9&lt;B116,IF(SUM(AB$5:AB116)-Dane_kredytowe!F$16+1&gt;0,PMT(M116/12,P116+1-SUM(AB$5:AB116),O116),T116),0),0))</f>
        <v>-1290.7071494332183</v>
      </c>
      <c r="V116" s="72">
        <f t="shared" si="99"/>
        <v>-556.54244870820298</v>
      </c>
      <c r="W116" s="19" t="str">
        <f t="shared" si="100"/>
        <v xml:space="preserve"> </v>
      </c>
      <c r="X116" s="19">
        <f t="shared" si="113"/>
        <v>0</v>
      </c>
      <c r="Y116" s="73">
        <f t="shared" si="76"/>
        <v>-232.8145411817865</v>
      </c>
      <c r="Z116" s="19">
        <f>IF(P116-SUM(AB$5:AB116)+1&gt;0,IF(Dane_kredytowe!F$9&lt;B116,IF(SUM(AB$5:AB116)-Dane_kredytowe!F$16+1&gt;0,PMT(M116/12,P116+1-SUM(AB$5:AB116),N116),Y116),0),0)</f>
        <v>-409.30242559822847</v>
      </c>
      <c r="AA116" s="19">
        <f t="shared" ref="AA116:AA162" si="125">Z116-Y116</f>
        <v>-176.48788441644197</v>
      </c>
      <c r="AB116" s="20">
        <f>IF(AND(Dane_kredytowe!F$9&lt;B116,SUM(AB$5:AB115)&lt;P115),1," ")</f>
        <v>1</v>
      </c>
      <c r="AD116" s="75">
        <f>IF(OR(B116&lt;Dane_kredytowe!F$15,Dane_kredytowe!F$15=""),-F116+S116,0)</f>
        <v>0</v>
      </c>
      <c r="AE116" s="75">
        <f t="shared" si="77"/>
        <v>409.30242559822847</v>
      </c>
      <c r="AG116" s="22">
        <f>Dane_kredytowe!F$17-SUM(AI$5:AI115)+SUM(W$42:W116)-SUM(X$42:X116)</f>
        <v>85885.36</v>
      </c>
      <c r="AH116" s="22">
        <f t="shared" si="78"/>
        <v>222.59</v>
      </c>
      <c r="AI116" s="22">
        <f t="shared" si="79"/>
        <v>264.26</v>
      </c>
      <c r="AJ116" s="22">
        <f t="shared" si="123"/>
        <v>486.85</v>
      </c>
      <c r="AK116" s="22">
        <f t="shared" si="80"/>
        <v>1534.05</v>
      </c>
      <c r="AL116" s="22">
        <f>Dane_kredytowe!F$8-SUM(AN$5:AN115)+SUM(R$42:R115)-SUM(S$42:S116)</f>
        <v>270833.44999999995</v>
      </c>
      <c r="AM116" s="22">
        <f t="shared" si="81"/>
        <v>701.91</v>
      </c>
      <c r="AN116" s="22">
        <f t="shared" si="82"/>
        <v>833.33</v>
      </c>
      <c r="AO116" s="22">
        <f t="shared" si="117"/>
        <v>1535.24</v>
      </c>
      <c r="AP116" s="22">
        <f t="shared" si="118"/>
        <v>-1.1900000000000546</v>
      </c>
      <c r="AR116" s="87">
        <f t="shared" si="83"/>
        <v>40634</v>
      </c>
      <c r="AS116" s="23">
        <f>AS$5+SUM(AV$5:AV115)-SUM(X$5:X116)+SUM(W$5:W116)</f>
        <v>131305.73106636613</v>
      </c>
      <c r="AT116" s="22">
        <f t="shared" si="84"/>
        <v>-340.30068634699887</v>
      </c>
      <c r="AU116" s="22">
        <f>IF(AB116=1,IF(Q116="tak",AT116,PMT(M116/12,P116+1-SUM(AB$5:AB116),AS116)),0)</f>
        <v>-598.2697457278291</v>
      </c>
      <c r="AV116" s="22">
        <f t="shared" si="119"/>
        <v>-257.96905938083023</v>
      </c>
      <c r="AW116" s="22">
        <f t="shared" si="85"/>
        <v>-1830.2268061305749</v>
      </c>
      <c r="AY116" s="23">
        <f>AY$5+SUM(BA$5:BA115)+SUM(W$5:W115)-SUM(X$5:X115)</f>
        <v>125536.82143784183</v>
      </c>
      <c r="AZ116" s="23">
        <f t="shared" si="86"/>
        <v>-340.30068634699887</v>
      </c>
      <c r="BA116" s="23">
        <f t="shared" si="87"/>
        <v>-386.27</v>
      </c>
      <c r="BB116" s="23">
        <f t="shared" si="124"/>
        <v>-726.57068634699885</v>
      </c>
      <c r="BC116" s="23">
        <f t="shared" si="88"/>
        <v>-2222.725043672739</v>
      </c>
      <c r="BE116" s="88">
        <f t="shared" si="89"/>
        <v>4.2700000000000002E-2</v>
      </c>
      <c r="BF116" s="89">
        <f>BE116+Dane_kredytowe!F$12</f>
        <v>7.2700000000000001E-2</v>
      </c>
      <c r="BG116" s="23">
        <f>BG$5+SUM(BH$5:BH115)+SUM(R$5:R115)-SUM(S$5:S115)</f>
        <v>291481.56016822148</v>
      </c>
      <c r="BH116" s="22">
        <f t="shared" ref="BH116:BH176" si="126">IF(BJ116&lt;0,BJ116-BI116,0)</f>
        <v>-288.50749912223932</v>
      </c>
      <c r="BI116" s="22">
        <f t="shared" si="121"/>
        <v>-1765.892452019142</v>
      </c>
      <c r="BJ116" s="22">
        <f>IF(U116&lt;0,PMT(BF116/12,Dane_kredytowe!F$13-SUM(AB$5:AB116)+1,BG116),0)</f>
        <v>-2054.3999511413813</v>
      </c>
      <c r="BL116" s="23">
        <f>BL$5+SUM(BN$5:BN115)+SUM(R$5:R115)-SUM(S$5:S115)</f>
        <v>270833.33333333337</v>
      </c>
      <c r="BM116" s="23">
        <f t="shared" si="90"/>
        <v>-1640.7986111111113</v>
      </c>
      <c r="BN116" s="23">
        <f t="shared" si="91"/>
        <v>-833.33333333333348</v>
      </c>
      <c r="BO116" s="23">
        <f t="shared" si="92"/>
        <v>-2474.1319444444448</v>
      </c>
      <c r="BQ116" s="89">
        <f t="shared" si="93"/>
        <v>5.9400000000000001E-2</v>
      </c>
      <c r="BR116" s="23">
        <f>BR$5+SUM(BS$5:BS115)+SUM(R$5:R115)-SUM(S$5:S115)+SUM(BV$5:BV115)</f>
        <v>313731.0507742716</v>
      </c>
      <c r="BS116" s="22">
        <f t="shared" si="107"/>
        <v>-390.50989225693979</v>
      </c>
      <c r="BT116" s="22">
        <f t="shared" si="108"/>
        <v>-1552.9687013326445</v>
      </c>
      <c r="BU116" s="22">
        <f>IF(U116&lt;0,PMT(BQ116/12,Dane_kredytowe!F$13-SUM(AB$5:AB116)+1,BR116),0)</f>
        <v>-1943.4785935895843</v>
      </c>
      <c r="BV116" s="22">
        <f t="shared" si="101"/>
        <v>653.77647378778056</v>
      </c>
      <c r="BX116" s="23">
        <f>BX$5+SUM(BZ$5:BZ115)+SUM(R$5:R115)-SUM(S$5:S115)+SUM(CB$5,CB115)</f>
        <v>271576.76065736386</v>
      </c>
      <c r="BY116" s="22">
        <f t="shared" si="94"/>
        <v>-1344.3049652539512</v>
      </c>
      <c r="BZ116" s="22">
        <f t="shared" si="95"/>
        <v>-835.62080202265804</v>
      </c>
      <c r="CA116" s="22">
        <f t="shared" si="109"/>
        <v>-2179.9257672766093</v>
      </c>
      <c r="CB116" s="22">
        <f t="shared" si="110"/>
        <v>890.2236474748056</v>
      </c>
      <c r="CD116" s="22">
        <f>CD$5+SUM(CE$5:CE115)+SUM(R$5:R115)-SUM(S$5:S115)-SUM(CF$5:CF115)</f>
        <v>309982.03665607516</v>
      </c>
      <c r="CE116" s="22">
        <f t="shared" si="102"/>
        <v>1344.3049652539512</v>
      </c>
      <c r="CF116" s="22">
        <f t="shared" si="96"/>
        <v>1289.7021198018037</v>
      </c>
      <c r="CG116" s="22">
        <f t="shared" si="103"/>
        <v>-54.602845452147449</v>
      </c>
      <c r="CI116" s="89">
        <f t="shared" si="97"/>
        <v>0.53259999999999996</v>
      </c>
      <c r="CJ116" s="22">
        <f t="shared" si="98"/>
        <v>-686.9</v>
      </c>
      <c r="CK116" s="15">
        <f t="shared" si="104"/>
        <v>0</v>
      </c>
      <c r="CM116" s="22">
        <f t="shared" si="105"/>
        <v>-44993.085525518552</v>
      </c>
      <c r="CN116" s="15">
        <f t="shared" si="111"/>
        <v>-160.10039599497017</v>
      </c>
    </row>
    <row r="117" spans="1:92">
      <c r="A117" s="25"/>
      <c r="B117" s="80">
        <v>40664</v>
      </c>
      <c r="C117" s="81">
        <f t="shared" si="72"/>
        <v>3.14</v>
      </c>
      <c r="D117" s="82">
        <f t="shared" si="106"/>
        <v>3.2342000000000004</v>
      </c>
      <c r="E117" s="73">
        <f t="shared" si="115"/>
        <v>-409.30242559822847</v>
      </c>
      <c r="F117" s="19">
        <f t="shared" si="70"/>
        <v>-1323.7659048697906</v>
      </c>
      <c r="G117" s="19">
        <f t="shared" si="116"/>
        <v>-1290.7071494332183</v>
      </c>
      <c r="H117" s="19">
        <f t="shared" si="71"/>
        <v>33.058755436572255</v>
      </c>
      <c r="I117" s="62"/>
      <c r="J117" s="15" t="str">
        <f t="shared" si="114"/>
        <v xml:space="preserve"> </v>
      </c>
      <c r="K117" s="15">
        <f>IF(B117&lt;=Dane_kredytowe!F$9,0,K116+1)</f>
        <v>37</v>
      </c>
      <c r="L117" s="83">
        <f t="shared" si="73"/>
        <v>1.1000000000000001E-3</v>
      </c>
      <c r="M117" s="84">
        <f>L117+Dane_kredytowe!F$12</f>
        <v>3.1099999999999999E-2</v>
      </c>
      <c r="N117" s="79">
        <f>MAX(Dane_kredytowe!F$17+SUM(AA$5:AA116)-SUM(X$5:X117)+SUM(W$5:W117),0)</f>
        <v>89655.489420452941</v>
      </c>
      <c r="O117" s="85">
        <f>MAX(Dane_kredytowe!F$8+SUM(V$5:V116)-SUM(S$5:S117)+SUM(R$5:R116),0)</f>
        <v>282722.44175387005</v>
      </c>
      <c r="P117" s="67">
        <f t="shared" si="122"/>
        <v>360</v>
      </c>
      <c r="Q117" s="127" t="str">
        <f>IF(AND(K117&gt;0,K117&lt;=Dane_kredytowe!F$16),"tak","nie")</f>
        <v>nie</v>
      </c>
      <c r="R117" s="69"/>
      <c r="S117" s="86">
        <f>IF(Dane_kredytowe!F$19=B117,O116+V116,_xlfn.XLOOKUP(B117,Dane_kredytowe!M$9:M$18,Dane_kredytowe!N$9:N$18,0))</f>
        <v>0</v>
      </c>
      <c r="T117" s="71">
        <f t="shared" si="74"/>
        <v>-732.72232821211321</v>
      </c>
      <c r="U117" s="72">
        <f>IF(Q117="tak",T117,IF(P117-SUM(AB$5:AB117)+1&gt;0,IF(Dane_kredytowe!F$9&lt;B117,IF(SUM(AB$5:AB117)-Dane_kredytowe!F$16+1&gt;0,PMT(M117/12,P117+1-SUM(AB$5:AB117),O117),T117),0),0))</f>
        <v>-1290.7071494332183</v>
      </c>
      <c r="V117" s="72">
        <f t="shared" si="99"/>
        <v>-557.98482122110511</v>
      </c>
      <c r="W117" s="19" t="str">
        <f t="shared" si="100"/>
        <v xml:space="preserve"> </v>
      </c>
      <c r="X117" s="19">
        <f t="shared" si="113"/>
        <v>0</v>
      </c>
      <c r="Y117" s="73">
        <f t="shared" si="76"/>
        <v>-232.35714341467386</v>
      </c>
      <c r="Z117" s="19">
        <f>IF(P117-SUM(AB$5:AB117)+1&gt;0,IF(Dane_kredytowe!F$9&lt;B117,IF(SUM(AB$5:AB117)-Dane_kredytowe!F$16+1&gt;0,PMT(M117/12,P117+1-SUM(AB$5:AB117),N117),Y117),0),0)</f>
        <v>-409.30242559822847</v>
      </c>
      <c r="AA117" s="19">
        <f t="shared" si="125"/>
        <v>-176.94528218355461</v>
      </c>
      <c r="AB117" s="20">
        <f>IF(AND(Dane_kredytowe!F$9&lt;B117,SUM(AB$5:AB116)&lt;P116),1," ")</f>
        <v>1</v>
      </c>
      <c r="AD117" s="75">
        <f>IF(OR(B117&lt;Dane_kredytowe!F$15,Dane_kredytowe!F$15=""),-F117+S117,0)</f>
        <v>0</v>
      </c>
      <c r="AE117" s="75">
        <f t="shared" si="77"/>
        <v>409.30242559822847</v>
      </c>
      <c r="AG117" s="22">
        <f>Dane_kredytowe!F$17-SUM(AI$5:AI116)+SUM(W$42:W117)-SUM(X$42:X117)</f>
        <v>85621.1</v>
      </c>
      <c r="AH117" s="22">
        <f t="shared" si="78"/>
        <v>221.9</v>
      </c>
      <c r="AI117" s="22">
        <f t="shared" si="79"/>
        <v>264.26</v>
      </c>
      <c r="AJ117" s="22">
        <f t="shared" si="123"/>
        <v>486.15999999999997</v>
      </c>
      <c r="AK117" s="22">
        <f t="shared" si="80"/>
        <v>1572.34</v>
      </c>
      <c r="AL117" s="22">
        <f>Dane_kredytowe!F$8-SUM(AN$5:AN116)+SUM(R$42:R116)-SUM(S$42:S117)</f>
        <v>270000.12</v>
      </c>
      <c r="AM117" s="22">
        <f t="shared" si="81"/>
        <v>699.75</v>
      </c>
      <c r="AN117" s="22">
        <f t="shared" si="82"/>
        <v>833.33</v>
      </c>
      <c r="AO117" s="22">
        <f t="shared" si="117"/>
        <v>1533.08</v>
      </c>
      <c r="AP117" s="22">
        <f t="shared" si="118"/>
        <v>39.259999999999991</v>
      </c>
      <c r="AR117" s="87">
        <f t="shared" si="83"/>
        <v>40664</v>
      </c>
      <c r="AS117" s="23">
        <f>AS$5+SUM(AV$5:AV116)-SUM(X$5:X117)+SUM(W$5:W117)</f>
        <v>131047.76200698529</v>
      </c>
      <c r="AT117" s="22">
        <f t="shared" si="84"/>
        <v>-339.6321165347702</v>
      </c>
      <c r="AU117" s="22">
        <f>IF(AB117=1,IF(Q117="tak",AT117,PMT(M117/12,P117+1-SUM(AB$5:AB117),AS117)),0)</f>
        <v>-598.2697457278291</v>
      </c>
      <c r="AV117" s="22">
        <f t="shared" si="119"/>
        <v>-258.6376291930589</v>
      </c>
      <c r="AW117" s="22">
        <f t="shared" si="85"/>
        <v>-1878.5670015853834</v>
      </c>
      <c r="AY117" s="23">
        <f>AY$5+SUM(BA$5:BA116)+SUM(W$5:W116)-SUM(X$5:X116)</f>
        <v>125150.55143784183</v>
      </c>
      <c r="AZ117" s="23">
        <f t="shared" si="86"/>
        <v>-339.6321165347702</v>
      </c>
      <c r="BA117" s="23">
        <f t="shared" si="87"/>
        <v>-386.27</v>
      </c>
      <c r="BB117" s="23">
        <f t="shared" si="124"/>
        <v>-725.90211653477013</v>
      </c>
      <c r="BC117" s="23">
        <f t="shared" si="88"/>
        <v>-2279.3326459191785</v>
      </c>
      <c r="BE117" s="88">
        <f t="shared" si="89"/>
        <v>4.3999999999999997E-2</v>
      </c>
      <c r="BF117" s="89">
        <f>BE117+Dane_kredytowe!F$12</f>
        <v>7.3999999999999996E-2</v>
      </c>
      <c r="BG117" s="23">
        <f>BG$5+SUM(BH$5:BH116)+SUM(R$5:R116)-SUM(S$5:S116)</f>
        <v>291193.05266909924</v>
      </c>
      <c r="BH117" s="22">
        <f t="shared" si="126"/>
        <v>-283.7157843335367</v>
      </c>
      <c r="BI117" s="22">
        <f t="shared" si="121"/>
        <v>-1795.6904914594452</v>
      </c>
      <c r="BJ117" s="22">
        <f>IF(U117&lt;0,PMT(BF117/12,Dane_kredytowe!F$13-SUM(AB$5:AB117)+1,BG117),0)</f>
        <v>-2079.4062757929819</v>
      </c>
      <c r="BL117" s="23">
        <f>BL$5+SUM(BN$5:BN116)+SUM(R$5:R116)-SUM(S$5:S116)</f>
        <v>270000</v>
      </c>
      <c r="BM117" s="23">
        <f t="shared" si="90"/>
        <v>-1665</v>
      </c>
      <c r="BN117" s="23">
        <f t="shared" si="91"/>
        <v>-833.33333333333337</v>
      </c>
      <c r="BO117" s="23">
        <f t="shared" si="92"/>
        <v>-2498.3333333333335</v>
      </c>
      <c r="BQ117" s="89">
        <f t="shared" si="93"/>
        <v>6.0699999999999997E-2</v>
      </c>
      <c r="BR117" s="23">
        <f>BR$5+SUM(BS$5:BS116)+SUM(R$5:R116)-SUM(S$5:S116)+SUM(BV$5:BV116)</f>
        <v>313994.31735580246</v>
      </c>
      <c r="BS117" s="22">
        <f t="shared" si="107"/>
        <v>-384.73426599641584</v>
      </c>
      <c r="BT117" s="22">
        <f t="shared" si="108"/>
        <v>-1588.2879219581007</v>
      </c>
      <c r="BU117" s="22">
        <f>IF(U117&lt;0,PMT(BQ117/12,Dane_kredytowe!F$13-SUM(AB$5:AB117)+1,BR117),0)</f>
        <v>-1973.0221879545165</v>
      </c>
      <c r="BV117" s="22">
        <f t="shared" si="101"/>
        <v>649.25628308472596</v>
      </c>
      <c r="BX117" s="23">
        <f>BX$5+SUM(BZ$5:BZ116)+SUM(R$5:R116)-SUM(S$5:S116)+SUM(CB$5,CB116)</f>
        <v>270782.36275042663</v>
      </c>
      <c r="BY117" s="22">
        <f t="shared" si="94"/>
        <v>-1369.7074515792413</v>
      </c>
      <c r="BZ117" s="22">
        <f t="shared" si="95"/>
        <v>-835.74803318032912</v>
      </c>
      <c r="CA117" s="22">
        <f t="shared" si="109"/>
        <v>-2205.4554847595705</v>
      </c>
      <c r="CB117" s="22">
        <f t="shared" si="110"/>
        <v>881.68957988977991</v>
      </c>
      <c r="CD117" s="22">
        <f>CD$5+SUM(CE$5:CE116)+SUM(R$5:R116)-SUM(S$5:S116)-SUM(CF$5:CF116)</f>
        <v>310036.6395015273</v>
      </c>
      <c r="CE117" s="22">
        <f t="shared" si="102"/>
        <v>1369.7074515792413</v>
      </c>
      <c r="CF117" s="22">
        <f t="shared" si="96"/>
        <v>1323.7659048697906</v>
      </c>
      <c r="CG117" s="22">
        <f t="shared" si="103"/>
        <v>-45.941546709450677</v>
      </c>
      <c r="CI117" s="89">
        <f t="shared" si="97"/>
        <v>0.52349999999999997</v>
      </c>
      <c r="CJ117" s="22">
        <f t="shared" si="98"/>
        <v>-692.99</v>
      </c>
      <c r="CK117" s="15">
        <f t="shared" si="104"/>
        <v>0</v>
      </c>
      <c r="CM117" s="22">
        <f t="shared" si="105"/>
        <v>-46316.851430388342</v>
      </c>
      <c r="CN117" s="15">
        <f t="shared" si="111"/>
        <v>-169.82845524475724</v>
      </c>
    </row>
    <row r="118" spans="1:92">
      <c r="A118" s="25"/>
      <c r="B118" s="80">
        <v>40695</v>
      </c>
      <c r="C118" s="81">
        <f t="shared" si="72"/>
        <v>3.2799</v>
      </c>
      <c r="D118" s="82">
        <f t="shared" si="106"/>
        <v>3.3782970000000003</v>
      </c>
      <c r="E118" s="73">
        <f t="shared" si="115"/>
        <v>-409.30242559822847</v>
      </c>
      <c r="F118" s="19">
        <f t="shared" ref="F118:F162" si="127">E118*D118</f>
        <v>-1382.7451564912185</v>
      </c>
      <c r="G118" s="19">
        <f t="shared" si="116"/>
        <v>-1290.7071494332183</v>
      </c>
      <c r="H118" s="19">
        <f t="shared" ref="H118:H162" si="128">G118-F118</f>
        <v>92.038007058000176</v>
      </c>
      <c r="I118" s="62"/>
      <c r="J118" s="15" t="str">
        <f t="shared" si="114"/>
        <v xml:space="preserve"> </v>
      </c>
      <c r="K118" s="15">
        <f>IF(B118&lt;=Dane_kredytowe!F$9,0,K117+1)</f>
        <v>38</v>
      </c>
      <c r="L118" s="83">
        <f t="shared" si="73"/>
        <v>1.1000000000000001E-3</v>
      </c>
      <c r="M118" s="84">
        <f>L118+Dane_kredytowe!F$12</f>
        <v>3.1099999999999999E-2</v>
      </c>
      <c r="N118" s="79">
        <f>MAX(Dane_kredytowe!F$17+SUM(AA$5:AA117)-SUM(X$5:X118)+SUM(W$5:W118),0)</f>
        <v>89478.544138269383</v>
      </c>
      <c r="O118" s="85">
        <f>MAX(Dane_kredytowe!F$8+SUM(V$5:V117)-SUM(S$5:S118)+SUM(R$5:R117),0)</f>
        <v>282164.45693264896</v>
      </c>
      <c r="P118" s="67">
        <f t="shared" si="122"/>
        <v>360</v>
      </c>
      <c r="Q118" s="127" t="str">
        <f>IF(AND(K118&gt;0,K118&lt;=Dane_kredytowe!F$16),"tak","nie")</f>
        <v>nie</v>
      </c>
      <c r="R118" s="69"/>
      <c r="S118" s="86">
        <f>IF(Dane_kredytowe!F$19=B118,O117+V117,_xlfn.XLOOKUP(B118,Dane_kredytowe!M$9:M$18,Dane_kredytowe!N$9:N$18,0))</f>
        <v>0</v>
      </c>
      <c r="T118" s="71">
        <f t="shared" si="74"/>
        <v>-731.27621755044856</v>
      </c>
      <c r="U118" s="72">
        <f>IF(Q118="tak",T118,IF(P118-SUM(AB$5:AB118)+1&gt;0,IF(Dane_kredytowe!F$9&lt;B118,IF(SUM(AB$5:AB118)-Dane_kredytowe!F$16+1&gt;0,PMT(M118/12,P118+1-SUM(AB$5:AB118),O118),T118),0),0))</f>
        <v>-1290.7071494332183</v>
      </c>
      <c r="V118" s="72">
        <f t="shared" si="99"/>
        <v>-559.43093188276976</v>
      </c>
      <c r="W118" s="19" t="str">
        <f t="shared" si="100"/>
        <v xml:space="preserve"> </v>
      </c>
      <c r="X118" s="19">
        <f t="shared" si="113"/>
        <v>0</v>
      </c>
      <c r="Y118" s="73">
        <f t="shared" si="76"/>
        <v>-231.89856022501479</v>
      </c>
      <c r="Z118" s="19">
        <f>IF(P118-SUM(AB$5:AB118)+1&gt;0,IF(Dane_kredytowe!F$9&lt;B118,IF(SUM(AB$5:AB118)-Dane_kredytowe!F$16+1&gt;0,PMT(M118/12,P118+1-SUM(AB$5:AB118),N118),Y118),0),0)</f>
        <v>-409.30242559822847</v>
      </c>
      <c r="AA118" s="19">
        <f t="shared" si="125"/>
        <v>-177.40386537321368</v>
      </c>
      <c r="AB118" s="20">
        <f>IF(AND(Dane_kredytowe!F$9&lt;B118,SUM(AB$5:AB117)&lt;P117),1," ")</f>
        <v>1</v>
      </c>
      <c r="AD118" s="75">
        <f>IF(OR(B118&lt;Dane_kredytowe!F$15,Dane_kredytowe!F$15=""),-F118+S118,0)</f>
        <v>0</v>
      </c>
      <c r="AE118" s="75">
        <f t="shared" si="77"/>
        <v>409.30242559822847</v>
      </c>
      <c r="AG118" s="22">
        <f>Dane_kredytowe!F$17-SUM(AI$5:AI117)+SUM(W$42:W118)-SUM(X$42:X118)</f>
        <v>85356.84</v>
      </c>
      <c r="AH118" s="22">
        <f t="shared" si="78"/>
        <v>221.22</v>
      </c>
      <c r="AI118" s="22">
        <f t="shared" si="79"/>
        <v>264.26</v>
      </c>
      <c r="AJ118" s="22">
        <f t="shared" si="123"/>
        <v>485.48</v>
      </c>
      <c r="AK118" s="22">
        <f t="shared" si="80"/>
        <v>1640.1</v>
      </c>
      <c r="AL118" s="22">
        <f>Dane_kredytowe!F$8-SUM(AN$5:AN117)+SUM(R$42:R117)-SUM(S$42:S118)</f>
        <v>269166.78999999998</v>
      </c>
      <c r="AM118" s="22">
        <f t="shared" si="81"/>
        <v>697.59</v>
      </c>
      <c r="AN118" s="22">
        <f t="shared" si="82"/>
        <v>833.33</v>
      </c>
      <c r="AO118" s="22">
        <f t="shared" si="117"/>
        <v>1530.92</v>
      </c>
      <c r="AP118" s="22">
        <f t="shared" si="118"/>
        <v>109.17999999999984</v>
      </c>
      <c r="AR118" s="87">
        <f t="shared" si="83"/>
        <v>40695</v>
      </c>
      <c r="AS118" s="23">
        <f>AS$5+SUM(AV$5:AV117)-SUM(X$5:X118)+SUM(W$5:W118)</f>
        <v>130789.12437779224</v>
      </c>
      <c r="AT118" s="22">
        <f t="shared" si="84"/>
        <v>-338.9618140124449</v>
      </c>
      <c r="AU118" s="22">
        <f>IF(AB118=1,IF(Q118="tak",AT118,PMT(M118/12,P118+1-SUM(AB$5:AB118),AS118)),0)</f>
        <v>-598.2697457278291</v>
      </c>
      <c r="AV118" s="22">
        <f t="shared" si="119"/>
        <v>-259.3079317153842</v>
      </c>
      <c r="AW118" s="22">
        <f t="shared" si="85"/>
        <v>-1962.2649390127067</v>
      </c>
      <c r="AY118" s="23">
        <f>AY$5+SUM(BA$5:BA117)+SUM(W$5:W117)-SUM(X$5:X117)</f>
        <v>124764.28143784184</v>
      </c>
      <c r="AZ118" s="23">
        <f t="shared" si="86"/>
        <v>-338.9618140124449</v>
      </c>
      <c r="BA118" s="23">
        <f t="shared" si="87"/>
        <v>-386.27</v>
      </c>
      <c r="BB118" s="23">
        <f t="shared" si="124"/>
        <v>-725.23181401244483</v>
      </c>
      <c r="BC118" s="23">
        <f t="shared" si="88"/>
        <v>-2378.6878267794177</v>
      </c>
      <c r="BE118" s="88">
        <f t="shared" si="89"/>
        <v>4.6100000000000002E-2</v>
      </c>
      <c r="BF118" s="89">
        <f>BE118+Dane_kredytowe!F$12</f>
        <v>7.6100000000000001E-2</v>
      </c>
      <c r="BG118" s="23">
        <f>BG$5+SUM(BH$5:BH117)+SUM(R$5:R117)-SUM(S$5:S117)</f>
        <v>290909.33688476571</v>
      </c>
      <c r="BH118" s="22">
        <f t="shared" si="126"/>
        <v>-275.13872038657223</v>
      </c>
      <c r="BI118" s="22">
        <f t="shared" si="121"/>
        <v>-1844.8500447442227</v>
      </c>
      <c r="BJ118" s="22">
        <f>IF(U118&lt;0,PMT(BF118/12,Dane_kredytowe!F$13-SUM(AB$5:AB118)+1,BG118),0)</f>
        <v>-2119.9887651307949</v>
      </c>
      <c r="BL118" s="23">
        <f>BL$5+SUM(BN$5:BN117)+SUM(R$5:R117)-SUM(S$5:S117)</f>
        <v>269166.66666666669</v>
      </c>
      <c r="BM118" s="23">
        <f t="shared" si="90"/>
        <v>-1706.9652777777781</v>
      </c>
      <c r="BN118" s="23">
        <f t="shared" si="91"/>
        <v>-833.33333333333337</v>
      </c>
      <c r="BO118" s="23">
        <f t="shared" si="92"/>
        <v>-2540.2986111111113</v>
      </c>
      <c r="BQ118" s="89">
        <f t="shared" si="93"/>
        <v>6.2799999999999995E-2</v>
      </c>
      <c r="BR118" s="23">
        <f>BR$5+SUM(BS$5:BS117)+SUM(R$5:R117)-SUM(S$5:S117)+SUM(BV$5:BV117)</f>
        <v>314258.83937289071</v>
      </c>
      <c r="BS118" s="22">
        <f t="shared" si="107"/>
        <v>-373.97948250518994</v>
      </c>
      <c r="BT118" s="22">
        <f t="shared" si="108"/>
        <v>-1644.6212593847947</v>
      </c>
      <c r="BU118" s="22">
        <f>IF(U118&lt;0,PMT(BQ118/12,Dane_kredytowe!F$13-SUM(AB$5:AB118)+1,BR118),0)</f>
        <v>-2018.6007418899846</v>
      </c>
      <c r="BV118" s="22">
        <f t="shared" si="101"/>
        <v>635.85558539876615</v>
      </c>
      <c r="BX118" s="23">
        <f>BX$5+SUM(BZ$5:BZ117)+SUM(R$5:R117)-SUM(S$5:S117)+SUM(CB$5,CB117)</f>
        <v>269938.08064966125</v>
      </c>
      <c r="BY118" s="22">
        <f t="shared" si="94"/>
        <v>-1412.6759553998936</v>
      </c>
      <c r="BZ118" s="22">
        <f t="shared" si="95"/>
        <v>-835.72161191845589</v>
      </c>
      <c r="CA118" s="22">
        <f t="shared" si="109"/>
        <v>-2248.3975673183495</v>
      </c>
      <c r="CB118" s="22">
        <f t="shared" si="110"/>
        <v>865.65241082713101</v>
      </c>
      <c r="CD118" s="22">
        <f>CD$5+SUM(CE$5:CE117)+SUM(R$5:R117)-SUM(S$5:S117)-SUM(CF$5:CF117)</f>
        <v>310082.58104823675</v>
      </c>
      <c r="CE118" s="22">
        <f t="shared" si="102"/>
        <v>1412.6759553998936</v>
      </c>
      <c r="CF118" s="22">
        <f t="shared" si="96"/>
        <v>1382.7451564912185</v>
      </c>
      <c r="CG118" s="22">
        <f t="shared" si="103"/>
        <v>-29.930798908675115</v>
      </c>
      <c r="CI118" s="89">
        <f t="shared" si="97"/>
        <v>0.52959999999999996</v>
      </c>
      <c r="CJ118" s="22">
        <f t="shared" si="98"/>
        <v>-732.3</v>
      </c>
      <c r="CK118" s="15">
        <f t="shared" si="104"/>
        <v>0</v>
      </c>
      <c r="CM118" s="22">
        <f t="shared" si="105"/>
        <v>-47699.596586879561</v>
      </c>
      <c r="CN118" s="15">
        <f t="shared" si="111"/>
        <v>-183.24595022126232</v>
      </c>
    </row>
    <row r="119" spans="1:92">
      <c r="A119" s="25"/>
      <c r="B119" s="80">
        <v>40725</v>
      </c>
      <c r="C119" s="81">
        <f t="shared" si="72"/>
        <v>3.3824000000000001</v>
      </c>
      <c r="D119" s="82">
        <f t="shared" si="106"/>
        <v>3.4838720000000003</v>
      </c>
      <c r="E119" s="73">
        <f t="shared" si="115"/>
        <v>-409.30242559822841</v>
      </c>
      <c r="F119" s="19">
        <f t="shared" si="127"/>
        <v>-1425.9572600737513</v>
      </c>
      <c r="G119" s="19">
        <f t="shared" si="116"/>
        <v>-1290.7071494332183</v>
      </c>
      <c r="H119" s="19">
        <f t="shared" si="128"/>
        <v>135.25011064053297</v>
      </c>
      <c r="I119" s="62"/>
      <c r="J119" s="15" t="str">
        <f t="shared" si="114"/>
        <v xml:space="preserve"> </v>
      </c>
      <c r="K119" s="15">
        <f>IF(B119&lt;=Dane_kredytowe!F$9,0,K118+1)</f>
        <v>39</v>
      </c>
      <c r="L119" s="83">
        <f t="shared" si="73"/>
        <v>1.1000000000000001E-3</v>
      </c>
      <c r="M119" s="84">
        <f>L119+Dane_kredytowe!F$12</f>
        <v>3.1099999999999999E-2</v>
      </c>
      <c r="N119" s="79">
        <f>MAX(Dane_kredytowe!F$17+SUM(AA$5:AA118)-SUM(X$5:X119)+SUM(W$5:W119),0)</f>
        <v>89301.140272896169</v>
      </c>
      <c r="O119" s="85">
        <f>MAX(Dane_kredytowe!F$8+SUM(V$5:V118)-SUM(S$5:S119)+SUM(R$5:R118),0)</f>
        <v>281605.0260007662</v>
      </c>
      <c r="P119" s="67">
        <f t="shared" si="122"/>
        <v>360</v>
      </c>
      <c r="Q119" s="127" t="str">
        <f>IF(AND(K119&gt;0,K119&lt;=Dane_kredytowe!F$16),"tak","nie")</f>
        <v>nie</v>
      </c>
      <c r="R119" s="69"/>
      <c r="S119" s="86">
        <f>IF(Dane_kredytowe!F$19=B119,O118+V118,_xlfn.XLOOKUP(B119,Dane_kredytowe!M$9:M$18,Dane_kredytowe!N$9:N$18,0))</f>
        <v>0</v>
      </c>
      <c r="T119" s="71">
        <f t="shared" si="74"/>
        <v>-729.82635905198561</v>
      </c>
      <c r="U119" s="72">
        <f>IF(Q119="tak",T119,IF(P119-SUM(AB$5:AB119)+1&gt;0,IF(Dane_kredytowe!F$9&lt;B119,IF(SUM(AB$5:AB119)-Dane_kredytowe!F$16+1&gt;0,PMT(M119/12,P119+1-SUM(AB$5:AB119),O119),T119),0),0))</f>
        <v>-1290.7071494332183</v>
      </c>
      <c r="V119" s="72">
        <f t="shared" si="99"/>
        <v>-560.88079038123271</v>
      </c>
      <c r="W119" s="19" t="str">
        <f t="shared" si="100"/>
        <v xml:space="preserve"> </v>
      </c>
      <c r="X119" s="19">
        <f t="shared" si="113"/>
        <v>0</v>
      </c>
      <c r="Y119" s="73">
        <f t="shared" si="76"/>
        <v>-231.43878854058923</v>
      </c>
      <c r="Z119" s="19">
        <f>IF(P119-SUM(AB$5:AB119)+1&gt;0,IF(Dane_kredytowe!F$9&lt;B119,IF(SUM(AB$5:AB119)-Dane_kredytowe!F$16+1&gt;0,PMT(M119/12,P119+1-SUM(AB$5:AB119),N119),Y119),0),0)</f>
        <v>-409.30242559822841</v>
      </c>
      <c r="AA119" s="19">
        <f t="shared" si="125"/>
        <v>-177.86363705763918</v>
      </c>
      <c r="AB119" s="20">
        <f>IF(AND(Dane_kredytowe!F$9&lt;B119,SUM(AB$5:AB118)&lt;P118),1," ")</f>
        <v>1</v>
      </c>
      <c r="AD119" s="75">
        <f>IF(OR(B119&lt;Dane_kredytowe!F$15,Dane_kredytowe!F$15=""),-F119+S119,0)</f>
        <v>0</v>
      </c>
      <c r="AE119" s="75">
        <f t="shared" si="77"/>
        <v>409.30242559822841</v>
      </c>
      <c r="AG119" s="22">
        <f>Dane_kredytowe!F$17-SUM(AI$5:AI118)+SUM(W$42:W119)-SUM(X$42:X119)</f>
        <v>85092.58</v>
      </c>
      <c r="AH119" s="22">
        <f t="shared" si="78"/>
        <v>220.53</v>
      </c>
      <c r="AI119" s="22">
        <f t="shared" si="79"/>
        <v>264.26</v>
      </c>
      <c r="AJ119" s="22">
        <f t="shared" si="123"/>
        <v>484.78999999999996</v>
      </c>
      <c r="AK119" s="22">
        <f t="shared" si="80"/>
        <v>1688.95</v>
      </c>
      <c r="AL119" s="22">
        <f>Dane_kredytowe!F$8-SUM(AN$5:AN118)+SUM(R$42:R118)-SUM(S$42:S119)</f>
        <v>268333.45999999996</v>
      </c>
      <c r="AM119" s="22">
        <f t="shared" si="81"/>
        <v>695.43</v>
      </c>
      <c r="AN119" s="22">
        <f t="shared" si="82"/>
        <v>833.33</v>
      </c>
      <c r="AO119" s="22">
        <f t="shared" si="117"/>
        <v>1528.76</v>
      </c>
      <c r="AP119" s="22">
        <f t="shared" si="118"/>
        <v>160.19000000000005</v>
      </c>
      <c r="AR119" s="87">
        <f t="shared" si="83"/>
        <v>40725</v>
      </c>
      <c r="AS119" s="23">
        <f>AS$5+SUM(AV$5:AV118)-SUM(X$5:X119)+SUM(W$5:W119)</f>
        <v>130529.81644607685</v>
      </c>
      <c r="AT119" s="22">
        <f t="shared" si="84"/>
        <v>-338.28977428941579</v>
      </c>
      <c r="AU119" s="22">
        <f>IF(AB119=1,IF(Q119="tak",AT119,PMT(M119/12,P119+1-SUM(AB$5:AB119),AS119)),0)</f>
        <v>-598.26974572782899</v>
      </c>
      <c r="AV119" s="22">
        <f t="shared" si="119"/>
        <v>-259.9799714384132</v>
      </c>
      <c r="AW119" s="22">
        <f t="shared" si="85"/>
        <v>-2023.5875879498087</v>
      </c>
      <c r="AY119" s="23">
        <f>AY$5+SUM(BA$5:BA118)+SUM(W$5:W118)-SUM(X$5:X118)</f>
        <v>124378.01143784184</v>
      </c>
      <c r="AZ119" s="23">
        <f t="shared" si="86"/>
        <v>-338.28977428941579</v>
      </c>
      <c r="BA119" s="23">
        <f t="shared" si="87"/>
        <v>-386.27</v>
      </c>
      <c r="BB119" s="23">
        <f t="shared" si="124"/>
        <v>-724.55977428941583</v>
      </c>
      <c r="BC119" s="23">
        <f t="shared" si="88"/>
        <v>-2450.7509805565201</v>
      </c>
      <c r="BE119" s="88">
        <f t="shared" si="89"/>
        <v>4.7E-2</v>
      </c>
      <c r="BF119" s="89">
        <f>BE119+Dane_kredytowe!F$12</f>
        <v>7.6999999999999999E-2</v>
      </c>
      <c r="BG119" s="23">
        <f>BG$5+SUM(BH$5:BH118)+SUM(R$5:R118)-SUM(S$5:S118)</f>
        <v>290634.19816437911</v>
      </c>
      <c r="BH119" s="22">
        <f t="shared" si="126"/>
        <v>-272.54440379419316</v>
      </c>
      <c r="BI119" s="22">
        <f t="shared" si="121"/>
        <v>-1864.9027715547661</v>
      </c>
      <c r="BJ119" s="22">
        <f>IF(U119&lt;0,PMT(BF119/12,Dane_kredytowe!F$13-SUM(AB$5:AB119)+1,BG119),0)</f>
        <v>-2137.4471753489593</v>
      </c>
      <c r="BL119" s="23">
        <f>BL$5+SUM(BN$5:BN118)+SUM(R$5:R118)-SUM(S$5:S118)</f>
        <v>268333.33333333337</v>
      </c>
      <c r="BM119" s="23">
        <f t="shared" si="90"/>
        <v>-1721.8055555555557</v>
      </c>
      <c r="BN119" s="23">
        <f t="shared" si="91"/>
        <v>-833.33333333333348</v>
      </c>
      <c r="BO119" s="23">
        <f t="shared" si="92"/>
        <v>-2555.1388888888891</v>
      </c>
      <c r="BQ119" s="89">
        <f t="shared" si="93"/>
        <v>6.3700000000000007E-2</v>
      </c>
      <c r="BR119" s="23">
        <f>BR$5+SUM(BS$5:BS118)+SUM(R$5:R118)-SUM(S$5:S118)+SUM(BV$5:BV118)</f>
        <v>314520.71547578432</v>
      </c>
      <c r="BS119" s="22">
        <f t="shared" si="107"/>
        <v>-371.01137557997254</v>
      </c>
      <c r="BT119" s="22">
        <f t="shared" si="108"/>
        <v>-1669.5807979839553</v>
      </c>
      <c r="BU119" s="22">
        <f>IF(U119&lt;0,PMT(BQ119/12,Dane_kredytowe!F$13-SUM(AB$5:AB119)+1,BR119),0)</f>
        <v>-2040.5921735639279</v>
      </c>
      <c r="BV119" s="22">
        <f t="shared" si="101"/>
        <v>614.63491349017659</v>
      </c>
      <c r="BX119" s="23">
        <f>BX$5+SUM(BZ$5:BZ118)+SUM(R$5:R118)-SUM(S$5:S118)+SUM(CB$5,CB118)</f>
        <v>269086.32186868018</v>
      </c>
      <c r="BY119" s="22">
        <f t="shared" si="94"/>
        <v>-1428.3998919195774</v>
      </c>
      <c r="BZ119" s="22">
        <f t="shared" si="95"/>
        <v>-835.67180704559064</v>
      </c>
      <c r="CA119" s="22">
        <f t="shared" si="109"/>
        <v>-2264.0716989651683</v>
      </c>
      <c r="CB119" s="22">
        <f t="shared" si="110"/>
        <v>838.11443889141697</v>
      </c>
      <c r="CD119" s="22">
        <f>CD$5+SUM(CE$5:CE118)+SUM(R$5:R118)-SUM(S$5:S118)-SUM(CF$5:CF118)</f>
        <v>310112.51184714539</v>
      </c>
      <c r="CE119" s="22">
        <f t="shared" si="102"/>
        <v>1428.3998919195774</v>
      </c>
      <c r="CF119" s="22">
        <f t="shared" si="96"/>
        <v>1425.9572600737513</v>
      </c>
      <c r="CG119" s="22">
        <f t="shared" si="103"/>
        <v>-2.4426318458260994</v>
      </c>
      <c r="CI119" s="89">
        <f t="shared" si="97"/>
        <v>0.53420000000000001</v>
      </c>
      <c r="CJ119" s="22">
        <f t="shared" si="98"/>
        <v>-761.75</v>
      </c>
      <c r="CK119" s="15">
        <f t="shared" si="104"/>
        <v>0</v>
      </c>
      <c r="CM119" s="22">
        <f t="shared" si="105"/>
        <v>-49125.553846953313</v>
      </c>
      <c r="CN119" s="15">
        <f t="shared" si="111"/>
        <v>-192.4084192339005</v>
      </c>
    </row>
    <row r="120" spans="1:92">
      <c r="A120" s="25"/>
      <c r="B120" s="80">
        <v>40756</v>
      </c>
      <c r="C120" s="81">
        <f t="shared" si="72"/>
        <v>3.6894</v>
      </c>
      <c r="D120" s="82">
        <f t="shared" si="106"/>
        <v>3.8000820000000002</v>
      </c>
      <c r="E120" s="73">
        <f t="shared" si="115"/>
        <v>-409.30242559822858</v>
      </c>
      <c r="F120" s="19">
        <f t="shared" si="127"/>
        <v>-1555.3827800721676</v>
      </c>
      <c r="G120" s="19">
        <f t="shared" si="116"/>
        <v>-1290.7071494332188</v>
      </c>
      <c r="H120" s="19">
        <f t="shared" si="128"/>
        <v>264.67563063894886</v>
      </c>
      <c r="I120" s="62"/>
      <c r="J120" s="15" t="str">
        <f t="shared" si="114"/>
        <v xml:space="preserve"> </v>
      </c>
      <c r="K120" s="15">
        <f>IF(B120&lt;=Dane_kredytowe!F$9,0,K119+1)</f>
        <v>40</v>
      </c>
      <c r="L120" s="83">
        <f t="shared" si="73"/>
        <v>1.1000000000000001E-3</v>
      </c>
      <c r="M120" s="84">
        <f>L120+Dane_kredytowe!F$12</f>
        <v>3.1099999999999999E-2</v>
      </c>
      <c r="N120" s="79">
        <f>MAX(Dane_kredytowe!F$17+SUM(AA$5:AA119)-SUM(X$5:X120)+SUM(W$5:W120),0)</f>
        <v>89123.276635838542</v>
      </c>
      <c r="O120" s="85">
        <f>MAX(Dane_kredytowe!F$8+SUM(V$5:V119)-SUM(S$5:S120)+SUM(R$5:R119),0)</f>
        <v>281044.14521038497</v>
      </c>
      <c r="P120" s="67">
        <f t="shared" si="122"/>
        <v>360</v>
      </c>
      <c r="Q120" s="127" t="str">
        <f>IF(AND(K120&gt;0,K120&lt;=Dane_kredytowe!F$16),"tak","nie")</f>
        <v>nie</v>
      </c>
      <c r="R120" s="69"/>
      <c r="S120" s="86">
        <f>IF(Dane_kredytowe!F$19=B120,O119+V119,_xlfn.XLOOKUP(B120,Dane_kredytowe!M$9:M$18,Dane_kredytowe!N$9:N$18,0))</f>
        <v>0</v>
      </c>
      <c r="T120" s="71">
        <f t="shared" si="74"/>
        <v>-728.37274300358104</v>
      </c>
      <c r="U120" s="72">
        <f>IF(Q120="tak",T120,IF(P120-SUM(AB$5:AB120)+1&gt;0,IF(Dane_kredytowe!F$9&lt;B120,IF(SUM(AB$5:AB120)-Dane_kredytowe!F$16+1&gt;0,PMT(M120/12,P120+1-SUM(AB$5:AB120),O120),T120),0),0))</f>
        <v>-1290.7071494332188</v>
      </c>
      <c r="V120" s="72">
        <f t="shared" si="99"/>
        <v>-562.33440642963774</v>
      </c>
      <c r="W120" s="19" t="str">
        <f t="shared" si="100"/>
        <v xml:space="preserve"> </v>
      </c>
      <c r="X120" s="19">
        <f t="shared" si="113"/>
        <v>0</v>
      </c>
      <c r="Y120" s="73">
        <f t="shared" si="76"/>
        <v>-230.97782528121488</v>
      </c>
      <c r="Z120" s="19">
        <f>IF(P120-SUM(AB$5:AB120)+1&gt;0,IF(Dane_kredytowe!F$9&lt;B120,IF(SUM(AB$5:AB120)-Dane_kredytowe!F$16+1&gt;0,PMT(M120/12,P120+1-SUM(AB$5:AB120),N120),Y120),0),0)</f>
        <v>-409.30242559822858</v>
      </c>
      <c r="AA120" s="19">
        <f t="shared" si="125"/>
        <v>-178.3246003170137</v>
      </c>
      <c r="AB120" s="20">
        <f>IF(AND(Dane_kredytowe!F$9&lt;B120,SUM(AB$5:AB119)&lt;P119),1," ")</f>
        <v>1</v>
      </c>
      <c r="AD120" s="75">
        <f>IF(OR(B120&lt;Dane_kredytowe!F$15,Dane_kredytowe!F$15=""),-F120+S120,0)</f>
        <v>0</v>
      </c>
      <c r="AE120" s="75">
        <f t="shared" si="77"/>
        <v>409.30242559822858</v>
      </c>
      <c r="AG120" s="22">
        <f>Dane_kredytowe!F$17-SUM(AI$5:AI119)+SUM(W$42:W120)-SUM(X$42:X120)</f>
        <v>84828.32</v>
      </c>
      <c r="AH120" s="22">
        <f t="shared" si="78"/>
        <v>219.85</v>
      </c>
      <c r="AI120" s="22">
        <f t="shared" si="79"/>
        <v>264.26</v>
      </c>
      <c r="AJ120" s="22">
        <f t="shared" si="123"/>
        <v>484.11</v>
      </c>
      <c r="AK120" s="22">
        <f t="shared" si="80"/>
        <v>1839.66</v>
      </c>
      <c r="AL120" s="22">
        <f>Dane_kredytowe!F$8-SUM(AN$5:AN119)+SUM(R$42:R119)-SUM(S$42:S120)</f>
        <v>267500.12999999995</v>
      </c>
      <c r="AM120" s="22">
        <f t="shared" si="81"/>
        <v>693.27</v>
      </c>
      <c r="AN120" s="22">
        <f t="shared" si="82"/>
        <v>833.33</v>
      </c>
      <c r="AO120" s="22">
        <f t="shared" si="117"/>
        <v>1526.6</v>
      </c>
      <c r="AP120" s="22">
        <f t="shared" si="118"/>
        <v>313.06000000000017</v>
      </c>
      <c r="AR120" s="87">
        <f t="shared" si="83"/>
        <v>40756</v>
      </c>
      <c r="AS120" s="23">
        <f>AS$5+SUM(AV$5:AV119)-SUM(X$5:X120)+SUM(W$5:W120)</f>
        <v>130269.83647463843</v>
      </c>
      <c r="AT120" s="22">
        <f t="shared" si="84"/>
        <v>-337.61599286343795</v>
      </c>
      <c r="AU120" s="22">
        <f>IF(AB120=1,IF(Q120="tak",AT120,PMT(M120/12,P120+1-SUM(AB$5:AB120),AS120)),0)</f>
        <v>-598.2697457278291</v>
      </c>
      <c r="AV120" s="22">
        <f t="shared" si="119"/>
        <v>-260.65375286439115</v>
      </c>
      <c r="AW120" s="22">
        <f t="shared" si="85"/>
        <v>-2207.2563998882529</v>
      </c>
      <c r="AY120" s="23">
        <f>AY$5+SUM(BA$5:BA119)+SUM(W$5:W119)-SUM(X$5:X119)</f>
        <v>123991.74143784183</v>
      </c>
      <c r="AZ120" s="23">
        <f t="shared" si="86"/>
        <v>-337.61599286343795</v>
      </c>
      <c r="BA120" s="23">
        <f t="shared" si="87"/>
        <v>-386.27</v>
      </c>
      <c r="BB120" s="23">
        <f t="shared" si="124"/>
        <v>-723.88599286343788</v>
      </c>
      <c r="BC120" s="23">
        <f t="shared" si="88"/>
        <v>-2670.7049820703678</v>
      </c>
      <c r="BE120" s="88">
        <f t="shared" si="89"/>
        <v>4.7199999999999999E-2</v>
      </c>
      <c r="BF120" s="89">
        <f>BE120+Dane_kredytowe!F$12</f>
        <v>7.7199999999999991E-2</v>
      </c>
      <c r="BG120" s="23">
        <f>BG$5+SUM(BH$5:BH119)+SUM(R$5:R119)-SUM(S$5:S119)</f>
        <v>290361.65376058494</v>
      </c>
      <c r="BH120" s="22">
        <f t="shared" si="126"/>
        <v>-273.33432794579744</v>
      </c>
      <c r="BI120" s="22">
        <f t="shared" si="121"/>
        <v>-1867.9933058597628</v>
      </c>
      <c r="BJ120" s="22">
        <f>IF(U120&lt;0,PMT(BF120/12,Dane_kredytowe!F$13-SUM(AB$5:AB120)+1,BG120),0)</f>
        <v>-2141.3276338055603</v>
      </c>
      <c r="BL120" s="23">
        <f>BL$5+SUM(BN$5:BN119)+SUM(R$5:R119)-SUM(S$5:S119)</f>
        <v>267500</v>
      </c>
      <c r="BM120" s="23">
        <f t="shared" ref="BM120:BM183" si="129">IF(AB120=1,-BF120*BL120/12,0)</f>
        <v>-1720.9166666666663</v>
      </c>
      <c r="BN120" s="23">
        <f t="shared" si="91"/>
        <v>-833.33333333333337</v>
      </c>
      <c r="BO120" s="23">
        <f t="shared" ref="BO120:BO169" si="130">BN120+BM120</f>
        <v>-2554.2499999999995</v>
      </c>
      <c r="BQ120" s="89">
        <f t="shared" si="93"/>
        <v>6.3899999999999998E-2</v>
      </c>
      <c r="BR120" s="23">
        <f>BR$5+SUM(BS$5:BS119)+SUM(R$5:R119)-SUM(S$5:S119)+SUM(BV$5:BV119)</f>
        <v>314764.33901369449</v>
      </c>
      <c r="BS120" s="22">
        <f t="shared" si="107"/>
        <v>-372.45205039014468</v>
      </c>
      <c r="BT120" s="22">
        <f t="shared" si="108"/>
        <v>-1676.120105247923</v>
      </c>
      <c r="BU120" s="22">
        <f>IF(U120&lt;0,PMT(BQ120/12,Dane_kredytowe!F$13-SUM(AB$5:AB120)+1,BR120),0)</f>
        <v>-2048.5721556380677</v>
      </c>
      <c r="BV120" s="22">
        <f t="shared" si="101"/>
        <v>493.18937556590004</v>
      </c>
      <c r="BX120" s="23">
        <f>BX$5+SUM(BZ$5:BZ119)+SUM(R$5:R119)-SUM(S$5:S119)+SUM(CB$5,CB119)</f>
        <v>268223.1120896989</v>
      </c>
      <c r="BY120" s="22">
        <f t="shared" si="94"/>
        <v>-1428.2880718776466</v>
      </c>
      <c r="BZ120" s="22">
        <f t="shared" si="95"/>
        <v>-835.5860189710246</v>
      </c>
      <c r="CA120" s="22">
        <f t="shared" si="109"/>
        <v>-2263.8740908486711</v>
      </c>
      <c r="CB120" s="22">
        <f t="shared" si="110"/>
        <v>708.4913107765035</v>
      </c>
      <c r="CD120" s="22">
        <f>CD$5+SUM(CE$5:CE119)+SUM(R$5:R119)-SUM(S$5:S119)-SUM(CF$5:CF119)</f>
        <v>310114.95447899128</v>
      </c>
      <c r="CE120" s="22">
        <f t="shared" si="102"/>
        <v>1428.2880718776466</v>
      </c>
      <c r="CF120" s="22">
        <f t="shared" si="96"/>
        <v>1555.3827800721676</v>
      </c>
      <c r="CG120" s="22">
        <f t="shared" si="103"/>
        <v>127.09470819452099</v>
      </c>
      <c r="CI120" s="89">
        <f t="shared" si="97"/>
        <v>0.53420000000000001</v>
      </c>
      <c r="CJ120" s="22">
        <f t="shared" si="98"/>
        <v>-830.89</v>
      </c>
      <c r="CK120" s="15">
        <f t="shared" si="104"/>
        <v>0</v>
      </c>
      <c r="CM120" s="22">
        <f t="shared" si="105"/>
        <v>-50680.936627025483</v>
      </c>
      <c r="CN120" s="15">
        <f t="shared" si="111"/>
        <v>-199.34501739963355</v>
      </c>
    </row>
    <row r="121" spans="1:92">
      <c r="A121" s="25"/>
      <c r="B121" s="80">
        <v>40787</v>
      </c>
      <c r="C121" s="81">
        <f t="shared" si="72"/>
        <v>3.6193</v>
      </c>
      <c r="D121" s="82">
        <f t="shared" si="106"/>
        <v>3.7278790000000002</v>
      </c>
      <c r="E121" s="73">
        <f>Z121</f>
        <v>-404.6004512012737</v>
      </c>
      <c r="F121" s="19">
        <f t="shared" si="127"/>
        <v>-1508.301525423753</v>
      </c>
      <c r="G121" s="19">
        <f>U121</f>
        <v>-1275.8797954009738</v>
      </c>
      <c r="H121" s="19">
        <f t="shared" si="128"/>
        <v>232.42173002277923</v>
      </c>
      <c r="I121" s="62"/>
      <c r="J121" s="15" t="str">
        <f t="shared" si="114"/>
        <v xml:space="preserve"> </v>
      </c>
      <c r="K121" s="15">
        <f>IF(B121&lt;=Dane_kredytowe!F$9,0,K120+1)</f>
        <v>41</v>
      </c>
      <c r="L121" s="83">
        <f t="shared" si="73"/>
        <v>1E-4</v>
      </c>
      <c r="M121" s="84">
        <f>L121+Dane_kredytowe!F$12</f>
        <v>3.0099999999999998E-2</v>
      </c>
      <c r="N121" s="79">
        <f>MAX(Dane_kredytowe!F$17+SUM(AA$5:AA120)-SUM(X$5:X121)+SUM(W$5:W121),0)</f>
        <v>88944.952035521521</v>
      </c>
      <c r="O121" s="85">
        <f>MAX(Dane_kredytowe!F$8+SUM(V$5:V120)-SUM(S$5:S121)+SUM(R$5:R120),0)</f>
        <v>280481.8108039553</v>
      </c>
      <c r="P121" s="67">
        <f t="shared" si="122"/>
        <v>360</v>
      </c>
      <c r="Q121" s="127" t="str">
        <f>IF(AND(K121&gt;0,K121&lt;=Dane_kredytowe!F$16),"tak","nie")</f>
        <v>nie</v>
      </c>
      <c r="R121" s="69"/>
      <c r="S121" s="86">
        <f>IF(Dane_kredytowe!F$19=B121,O120+V120,_xlfn.XLOOKUP(B121,Dane_kredytowe!M$9:M$18,Dane_kredytowe!N$9:N$18,0))</f>
        <v>0</v>
      </c>
      <c r="T121" s="71">
        <f t="shared" si="74"/>
        <v>-703.54187543325452</v>
      </c>
      <c r="U121" s="72">
        <f>IF(Q121="tak",T121,IF(P121-SUM(AB$5:AB121)+1&gt;0,IF(Dane_kredytowe!F$9&lt;B121,IF(SUM(AB$5:AB121)-Dane_kredytowe!F$16+1&gt;0,PMT(M121/12,P121+1-SUM(AB$5:AB121),O121),T121),0),0))</f>
        <v>-1275.8797954009738</v>
      </c>
      <c r="V121" s="72">
        <f t="shared" si="99"/>
        <v>-572.33791996771924</v>
      </c>
      <c r="W121" s="19" t="str">
        <f t="shared" si="100"/>
        <v xml:space="preserve"> </v>
      </c>
      <c r="X121" s="19">
        <f t="shared" si="113"/>
        <v>0</v>
      </c>
      <c r="Y121" s="73">
        <f t="shared" si="76"/>
        <v>-223.10358802243312</v>
      </c>
      <c r="Z121" s="19">
        <f>IF(P121-SUM(AB$5:AB121)+1&gt;0,IF(Dane_kredytowe!F$9&lt;B121,IF(SUM(AB$5:AB121)-Dane_kredytowe!F$16+1&gt;0,PMT(M121/12,P121+1-SUM(AB$5:AB121),N121),Y121),0),0)</f>
        <v>-404.6004512012737</v>
      </c>
      <c r="AA121" s="19">
        <f t="shared" si="125"/>
        <v>-181.49686317884058</v>
      </c>
      <c r="AB121" s="20">
        <f>IF(AND(Dane_kredytowe!F$9&lt;B121,SUM(AB$5:AB120)&lt;P120),1," ")</f>
        <v>1</v>
      </c>
      <c r="AD121" s="75">
        <f>IF(OR(B121&lt;Dane_kredytowe!F$15,Dane_kredytowe!F$15=""),-F121+S121,0)</f>
        <v>0</v>
      </c>
      <c r="AE121" s="75">
        <f t="shared" si="77"/>
        <v>404.6004512012737</v>
      </c>
      <c r="AG121" s="22">
        <f>Dane_kredytowe!F$17-SUM(AI$5:AI120)+SUM(W$42:W121)-SUM(X$42:X121)</f>
        <v>84564.06</v>
      </c>
      <c r="AH121" s="22">
        <f t="shared" si="78"/>
        <v>212.11</v>
      </c>
      <c r="AI121" s="22">
        <f t="shared" si="79"/>
        <v>264.26</v>
      </c>
      <c r="AJ121" s="22">
        <f t="shared" si="123"/>
        <v>476.37</v>
      </c>
      <c r="AK121" s="22">
        <f t="shared" si="80"/>
        <v>1775.85</v>
      </c>
      <c r="AL121" s="22">
        <f>Dane_kredytowe!F$8-SUM(AN$5:AN120)+SUM(R$42:R120)-SUM(S$42:S121)</f>
        <v>266666.8</v>
      </c>
      <c r="AM121" s="22">
        <f t="shared" si="81"/>
        <v>668.89</v>
      </c>
      <c r="AN121" s="22">
        <f t="shared" si="82"/>
        <v>833.33</v>
      </c>
      <c r="AO121" s="22">
        <f t="shared" si="117"/>
        <v>1502.22</v>
      </c>
      <c r="AP121" s="22">
        <f t="shared" si="118"/>
        <v>273.62999999999988</v>
      </c>
      <c r="AR121" s="87">
        <f t="shared" si="83"/>
        <v>40787</v>
      </c>
      <c r="AS121" s="23">
        <f>AS$5+SUM(AV$5:AV120)-SUM(X$5:X121)+SUM(W$5:W121)</f>
        <v>130009.18272177405</v>
      </c>
      <c r="AT121" s="22">
        <f t="shared" si="84"/>
        <v>-326.10636666044991</v>
      </c>
      <c r="AU121" s="22">
        <f>IF(AB121=1,IF(Q121="tak",AT121,PMT(M121/12,P121+1-SUM(AB$5:AB121),AS121)),0)</f>
        <v>-591.39695717111977</v>
      </c>
      <c r="AV121" s="22">
        <f t="shared" si="119"/>
        <v>-265.29059051066986</v>
      </c>
      <c r="AW121" s="22">
        <f t="shared" si="85"/>
        <v>-2140.4430070894336</v>
      </c>
      <c r="AY121" s="23">
        <f>AY$5+SUM(BA$5:BA120)+SUM(W$5:W120)-SUM(X$5:X120)</f>
        <v>123605.47143784183</v>
      </c>
      <c r="AZ121" s="23">
        <f t="shared" si="86"/>
        <v>-326.10636666044991</v>
      </c>
      <c r="BA121" s="23">
        <f t="shared" si="87"/>
        <v>-386.27</v>
      </c>
      <c r="BB121" s="23">
        <f t="shared" si="124"/>
        <v>-712.37636666044989</v>
      </c>
      <c r="BC121" s="23">
        <f t="shared" si="88"/>
        <v>-2578.3037838541663</v>
      </c>
      <c r="BE121" s="88">
        <f t="shared" si="89"/>
        <v>4.7500000000000001E-2</v>
      </c>
      <c r="BF121" s="89">
        <f>BE121+Dane_kredytowe!F$12</f>
        <v>7.7499999999999999E-2</v>
      </c>
      <c r="BG121" s="23">
        <f>BG$5+SUM(BH$5:BH120)+SUM(R$5:R120)-SUM(S$5:S120)</f>
        <v>290088.31943263911</v>
      </c>
      <c r="BH121" s="22">
        <f t="shared" si="126"/>
        <v>-273.65597983519206</v>
      </c>
      <c r="BI121" s="22">
        <f t="shared" si="121"/>
        <v>-1873.4870630024609</v>
      </c>
      <c r="BJ121" s="22">
        <f>IF(U121&lt;0,PMT(BF121/12,Dane_kredytowe!F$13-SUM(AB$5:AB121)+1,BG121),0)</f>
        <v>-2147.143042837653</v>
      </c>
      <c r="BL121" s="23">
        <f>BL$5+SUM(BN$5:BN120)+SUM(R$5:R120)-SUM(S$5:S120)</f>
        <v>266666.66666666669</v>
      </c>
      <c r="BM121" s="23">
        <f t="shared" si="129"/>
        <v>-1722.2222222222224</v>
      </c>
      <c r="BN121" s="23">
        <f t="shared" si="91"/>
        <v>-833.33333333333337</v>
      </c>
      <c r="BO121" s="23">
        <f t="shared" si="130"/>
        <v>-2555.5555555555557</v>
      </c>
      <c r="BQ121" s="89">
        <f t="shared" si="93"/>
        <v>6.4200000000000007E-2</v>
      </c>
      <c r="BR121" s="23">
        <f>BR$5+SUM(BS$5:BS120)+SUM(R$5:R120)-SUM(S$5:S120)+SUM(BV$5:BV120)</f>
        <v>314885.07633887028</v>
      </c>
      <c r="BS121" s="22">
        <f t="shared" si="107"/>
        <v>-373.13558113972431</v>
      </c>
      <c r="BT121" s="22">
        <f t="shared" si="108"/>
        <v>-1684.6351584129561</v>
      </c>
      <c r="BU121" s="22">
        <f>IF(U121&lt;0,PMT(BQ121/12,Dane_kredytowe!F$13-SUM(AB$5:AB121)+1,BR121),0)</f>
        <v>-2057.7707395526804</v>
      </c>
      <c r="BV121" s="22">
        <f t="shared" si="101"/>
        <v>549.46921412892743</v>
      </c>
      <c r="BX121" s="23">
        <f>BX$5+SUM(BZ$5:BZ120)+SUM(R$5:R120)-SUM(S$5:S120)+SUM(CB$5,CB120)</f>
        <v>267257.90294261294</v>
      </c>
      <c r="BY121" s="22">
        <f t="shared" si="94"/>
        <v>-1429.8297807429792</v>
      </c>
      <c r="BZ121" s="22">
        <f t="shared" si="95"/>
        <v>-835.1809466956654</v>
      </c>
      <c r="CA121" s="22">
        <f t="shared" si="109"/>
        <v>-2265.0107274386446</v>
      </c>
      <c r="CB121" s="22">
        <f t="shared" si="110"/>
        <v>756.70920201489162</v>
      </c>
      <c r="CD121" s="22">
        <f>CD$5+SUM(CE$5:CE120)+SUM(R$5:R120)-SUM(S$5:S120)-SUM(CF$5:CF120)</f>
        <v>309987.85977079673</v>
      </c>
      <c r="CE121" s="22">
        <f t="shared" si="102"/>
        <v>1429.8297807429792</v>
      </c>
      <c r="CF121" s="22">
        <f t="shared" si="96"/>
        <v>1508.301525423753</v>
      </c>
      <c r="CG121" s="22">
        <f t="shared" si="103"/>
        <v>78.471744680773782</v>
      </c>
      <c r="CI121" s="89">
        <f t="shared" si="97"/>
        <v>0.53269999999999995</v>
      </c>
      <c r="CJ121" s="22">
        <f t="shared" si="98"/>
        <v>-803.47</v>
      </c>
      <c r="CK121" s="15">
        <f t="shared" si="104"/>
        <v>0</v>
      </c>
      <c r="CM121" s="22">
        <f t="shared" si="105"/>
        <v>-52189.238152449238</v>
      </c>
      <c r="CN121" s="15">
        <f t="shared" si="111"/>
        <v>-206.58240102011158</v>
      </c>
    </row>
    <row r="122" spans="1:92">
      <c r="A122" s="25"/>
      <c r="B122" s="80">
        <v>40817</v>
      </c>
      <c r="C122" s="81">
        <f t="shared" si="72"/>
        <v>3.5440999999999998</v>
      </c>
      <c r="D122" s="82">
        <f t="shared" si="106"/>
        <v>3.650423</v>
      </c>
      <c r="E122" s="73">
        <f t="shared" si="115"/>
        <v>-404.60045120127364</v>
      </c>
      <c r="F122" s="19">
        <f t="shared" si="127"/>
        <v>-1476.9627928755069</v>
      </c>
      <c r="G122" s="19">
        <f t="shared" si="116"/>
        <v>-1275.8797954009733</v>
      </c>
      <c r="H122" s="19">
        <f t="shared" si="128"/>
        <v>201.08299747453361</v>
      </c>
      <c r="I122" s="62"/>
      <c r="J122" s="15" t="str">
        <f t="shared" si="114"/>
        <v xml:space="preserve"> </v>
      </c>
      <c r="K122" s="15">
        <f>IF(B122&lt;=Dane_kredytowe!F$9,0,K121+1)</f>
        <v>42</v>
      </c>
      <c r="L122" s="83">
        <f t="shared" si="73"/>
        <v>1E-4</v>
      </c>
      <c r="M122" s="84">
        <f>L122+Dane_kredytowe!F$12</f>
        <v>3.0099999999999998E-2</v>
      </c>
      <c r="N122" s="79">
        <f>MAX(Dane_kredytowe!F$17+SUM(AA$5:AA121)-SUM(X$5:X122)+SUM(W$5:W122),0)</f>
        <v>88763.455172342685</v>
      </c>
      <c r="O122" s="85">
        <f>MAX(Dane_kredytowe!F$8+SUM(V$5:V121)-SUM(S$5:S122)+SUM(R$5:R121),0)</f>
        <v>279909.47288398759</v>
      </c>
      <c r="P122" s="67">
        <f t="shared" si="122"/>
        <v>360</v>
      </c>
      <c r="Q122" s="127" t="str">
        <f>IF(AND(K122&gt;0,K122&lt;=Dane_kredytowe!F$16),"tak","nie")</f>
        <v>nie</v>
      </c>
      <c r="R122" s="69"/>
      <c r="S122" s="86">
        <f>IF(Dane_kredytowe!F$19=B122,O121+V121,_xlfn.XLOOKUP(B122,Dane_kredytowe!M$9:M$18,Dane_kredytowe!N$9:N$18,0))</f>
        <v>0</v>
      </c>
      <c r="T122" s="71">
        <f t="shared" si="74"/>
        <v>-702.10626115066873</v>
      </c>
      <c r="U122" s="72">
        <f>IF(Q122="tak",T122,IF(P122-SUM(AB$5:AB122)+1&gt;0,IF(Dane_kredytowe!F$9&lt;B122,IF(SUM(AB$5:AB122)-Dane_kredytowe!F$16+1&gt;0,PMT(M122/12,P122+1-SUM(AB$5:AB122),O122),T122),0),0))</f>
        <v>-1275.8797954009733</v>
      </c>
      <c r="V122" s="72">
        <f t="shared" si="99"/>
        <v>-573.77353425030458</v>
      </c>
      <c r="W122" s="19" t="str">
        <f t="shared" si="100"/>
        <v xml:space="preserve"> </v>
      </c>
      <c r="X122" s="19">
        <f t="shared" si="113"/>
        <v>0</v>
      </c>
      <c r="Y122" s="73">
        <f t="shared" si="76"/>
        <v>-222.64833339062622</v>
      </c>
      <c r="Z122" s="19">
        <f>IF(P122-SUM(AB$5:AB122)+1&gt;0,IF(Dane_kredytowe!F$9&lt;B122,IF(SUM(AB$5:AB122)-Dane_kredytowe!F$16+1&gt;0,PMT(M122/12,P122+1-SUM(AB$5:AB122),N122),Y122),0),0)</f>
        <v>-404.60045120127364</v>
      </c>
      <c r="AA122" s="19">
        <f t="shared" si="125"/>
        <v>-181.95211781064742</v>
      </c>
      <c r="AB122" s="20">
        <f>IF(AND(Dane_kredytowe!F$9&lt;B122,SUM(AB$5:AB121)&lt;P121),1," ")</f>
        <v>1</v>
      </c>
      <c r="AD122" s="75">
        <f>IF(OR(B122&lt;Dane_kredytowe!F$15,Dane_kredytowe!F$15=""),-F122+S122,0)</f>
        <v>0</v>
      </c>
      <c r="AE122" s="75">
        <f t="shared" si="77"/>
        <v>404.60045120127364</v>
      </c>
      <c r="AG122" s="22">
        <f>Dane_kredytowe!F$17-SUM(AI$5:AI121)+SUM(W$42:W122)-SUM(X$42:X122)</f>
        <v>84299.8</v>
      </c>
      <c r="AH122" s="22">
        <f t="shared" si="78"/>
        <v>211.45</v>
      </c>
      <c r="AI122" s="22">
        <f t="shared" si="79"/>
        <v>264.26</v>
      </c>
      <c r="AJ122" s="22">
        <f t="shared" si="123"/>
        <v>475.71</v>
      </c>
      <c r="AK122" s="22">
        <f t="shared" si="80"/>
        <v>1736.54</v>
      </c>
      <c r="AL122" s="22">
        <f>Dane_kredytowe!F$8-SUM(AN$5:AN121)+SUM(R$42:R121)-SUM(S$42:S122)</f>
        <v>265833.46999999997</v>
      </c>
      <c r="AM122" s="22">
        <f t="shared" si="81"/>
        <v>666.8</v>
      </c>
      <c r="AN122" s="22">
        <f t="shared" si="82"/>
        <v>833.33</v>
      </c>
      <c r="AO122" s="22">
        <f t="shared" si="117"/>
        <v>1500.13</v>
      </c>
      <c r="AP122" s="22">
        <f t="shared" si="118"/>
        <v>236.40999999999985</v>
      </c>
      <c r="AR122" s="87">
        <f t="shared" si="83"/>
        <v>40817</v>
      </c>
      <c r="AS122" s="23">
        <f>AS$5+SUM(AV$5:AV121)-SUM(X$5:X122)+SUM(W$5:W122)</f>
        <v>129743.89213126338</v>
      </c>
      <c r="AT122" s="22">
        <f t="shared" si="84"/>
        <v>-325.44092942925226</v>
      </c>
      <c r="AU122" s="22">
        <f>IF(AB122=1,IF(Q122="tak",AT122,PMT(M122/12,P122+1-SUM(AB$5:AB122),AS122)),0)</f>
        <v>-591.39695717111954</v>
      </c>
      <c r="AV122" s="22">
        <f t="shared" si="119"/>
        <v>-265.95602774186727</v>
      </c>
      <c r="AW122" s="22">
        <f t="shared" si="85"/>
        <v>-2095.9699559101646</v>
      </c>
      <c r="AY122" s="23">
        <f>AY$5+SUM(BA$5:BA121)+SUM(W$5:W121)-SUM(X$5:X121)</f>
        <v>123219.20143784184</v>
      </c>
      <c r="AZ122" s="23">
        <f t="shared" si="86"/>
        <v>-325.44092942925226</v>
      </c>
      <c r="BA122" s="23">
        <f t="shared" si="87"/>
        <v>-386.27</v>
      </c>
      <c r="BB122" s="23">
        <f t="shared" si="124"/>
        <v>-711.71092942925225</v>
      </c>
      <c r="BC122" s="23">
        <f t="shared" si="88"/>
        <v>-2522.3747049902126</v>
      </c>
      <c r="BE122" s="88">
        <f t="shared" si="89"/>
        <v>4.8000000000000001E-2</v>
      </c>
      <c r="BF122" s="89">
        <f>BE122+Dane_kredytowe!F$12</f>
        <v>7.8E-2</v>
      </c>
      <c r="BG122" s="23">
        <f>BG$5+SUM(BH$5:BH121)+SUM(R$5:R121)-SUM(S$5:S121)</f>
        <v>289814.66345280397</v>
      </c>
      <c r="BH122" s="22">
        <f t="shared" si="126"/>
        <v>-273.03649981022113</v>
      </c>
      <c r="BI122" s="22">
        <f t="shared" si="121"/>
        <v>-1883.7953124432258</v>
      </c>
      <c r="BJ122" s="22">
        <f>IF(U122&lt;0,PMT(BF122/12,Dane_kredytowe!F$13-SUM(AB$5:AB122)+1,BG122),0)</f>
        <v>-2156.831812253447</v>
      </c>
      <c r="BL122" s="23">
        <f>BL$5+SUM(BN$5:BN121)+SUM(R$5:R121)-SUM(S$5:S121)</f>
        <v>265833.33333333337</v>
      </c>
      <c r="BM122" s="23">
        <f t="shared" si="129"/>
        <v>-1727.916666666667</v>
      </c>
      <c r="BN122" s="23">
        <f t="shared" si="91"/>
        <v>-833.33333333333348</v>
      </c>
      <c r="BO122" s="23">
        <f t="shared" si="130"/>
        <v>-2561.2500000000005</v>
      </c>
      <c r="BQ122" s="89">
        <f t="shared" si="93"/>
        <v>6.4700000000000008E-2</v>
      </c>
      <c r="BR122" s="23">
        <f>BR$5+SUM(BS$5:BS121)+SUM(R$5:R121)-SUM(S$5:S121)+SUM(BV$5:BV121)</f>
        <v>315061.40997185948</v>
      </c>
      <c r="BS122" s="22">
        <f t="shared" si="107"/>
        <v>-372.64889238536739</v>
      </c>
      <c r="BT122" s="22">
        <f t="shared" si="108"/>
        <v>-1698.7061020982758</v>
      </c>
      <c r="BU122" s="22">
        <f>IF(U122&lt;0,PMT(BQ122/12,Dane_kredytowe!F$13-SUM(AB$5:AB122)+1,BR122),0)</f>
        <v>-2071.3549944836432</v>
      </c>
      <c r="BV122" s="22">
        <f t="shared" si="101"/>
        <v>594.39220160813625</v>
      </c>
      <c r="BX122" s="23">
        <f>BX$5+SUM(BZ$5:BZ121)+SUM(R$5:R121)-SUM(S$5:S121)+SUM(CB$5,CB121)</f>
        <v>266470.93988715566</v>
      </c>
      <c r="BY122" s="22">
        <f t="shared" si="94"/>
        <v>-1436.7224842249143</v>
      </c>
      <c r="BZ122" s="22">
        <f t="shared" si="95"/>
        <v>-835.33209995973561</v>
      </c>
      <c r="CA122" s="22">
        <f t="shared" si="109"/>
        <v>-2272.0545841846497</v>
      </c>
      <c r="CB122" s="22">
        <f t="shared" si="110"/>
        <v>795.09179130914276</v>
      </c>
      <c r="CD122" s="22">
        <f>CD$5+SUM(CE$5:CE121)+SUM(R$5:R121)-SUM(S$5:S121)-SUM(CF$5:CF121)</f>
        <v>309909.38802611595</v>
      </c>
      <c r="CE122" s="22">
        <f t="shared" si="102"/>
        <v>1436.7224842249143</v>
      </c>
      <c r="CF122" s="22">
        <f t="shared" si="96"/>
        <v>1476.9627928755069</v>
      </c>
      <c r="CG122" s="22">
        <f t="shared" si="103"/>
        <v>40.240308650592624</v>
      </c>
      <c r="CI122" s="89">
        <f t="shared" si="97"/>
        <v>0.52200000000000002</v>
      </c>
      <c r="CJ122" s="22">
        <f t="shared" si="98"/>
        <v>-770.97</v>
      </c>
      <c r="CK122" s="15">
        <f t="shared" si="104"/>
        <v>0</v>
      </c>
      <c r="CM122" s="22">
        <f t="shared" si="105"/>
        <v>-53666.200945324745</v>
      </c>
      <c r="CN122" s="15">
        <f t="shared" si="111"/>
        <v>-214.66480378129896</v>
      </c>
    </row>
    <row r="123" spans="1:92">
      <c r="A123" s="25"/>
      <c r="B123" s="80">
        <v>40848</v>
      </c>
      <c r="C123" s="81">
        <f t="shared" si="72"/>
        <v>3.5933999999999999</v>
      </c>
      <c r="D123" s="82">
        <f t="shared" si="106"/>
        <v>3.7012019999999999</v>
      </c>
      <c r="E123" s="73">
        <f t="shared" si="115"/>
        <v>-404.60045120127364</v>
      </c>
      <c r="F123" s="19">
        <f t="shared" si="127"/>
        <v>-1497.5079991870564</v>
      </c>
      <c r="G123" s="19">
        <f t="shared" si="116"/>
        <v>-1275.8797954009735</v>
      </c>
      <c r="H123" s="19">
        <f t="shared" si="128"/>
        <v>221.62820378608285</v>
      </c>
      <c r="I123" s="62"/>
      <c r="J123" s="15" t="str">
        <f t="shared" si="114"/>
        <v xml:space="preserve"> </v>
      </c>
      <c r="K123" s="15">
        <f>IF(B123&lt;=Dane_kredytowe!F$9,0,K122+1)</f>
        <v>43</v>
      </c>
      <c r="L123" s="83">
        <f t="shared" si="73"/>
        <v>1E-4</v>
      </c>
      <c r="M123" s="84">
        <f>L123+Dane_kredytowe!F$12</f>
        <v>3.0099999999999998E-2</v>
      </c>
      <c r="N123" s="79">
        <f>MAX(Dane_kredytowe!F$17+SUM(AA$5:AA122)-SUM(X$5:X123)+SUM(W$5:W123),0)</f>
        <v>88581.503054532033</v>
      </c>
      <c r="O123" s="85">
        <f>MAX(Dane_kredytowe!F$8+SUM(V$5:V122)-SUM(S$5:S123)+SUM(R$5:R122),0)</f>
        <v>279335.69934973732</v>
      </c>
      <c r="P123" s="67">
        <f t="shared" si="122"/>
        <v>360</v>
      </c>
      <c r="Q123" s="127" t="str">
        <f>IF(AND(K123&gt;0,K123&lt;=Dane_kredytowe!F$16),"tak","nie")</f>
        <v>nie</v>
      </c>
      <c r="R123" s="69"/>
      <c r="S123" s="86">
        <f>IF(Dane_kredytowe!F$19=B123,O122+V122,_xlfn.XLOOKUP(B123,Dane_kredytowe!M$9:M$18,Dane_kredytowe!N$9:N$18,0))</f>
        <v>0</v>
      </c>
      <c r="T123" s="71">
        <f t="shared" si="74"/>
        <v>-700.66704586892445</v>
      </c>
      <c r="U123" s="72">
        <f>IF(Q123="tak",T123,IF(P123-SUM(AB$5:AB123)+1&gt;0,IF(Dane_kredytowe!F$9&lt;B123,IF(SUM(AB$5:AB123)-Dane_kredytowe!F$16+1&gt;0,PMT(M123/12,P123+1-SUM(AB$5:AB123),O123),T123),0),0))</f>
        <v>-1275.8797954009735</v>
      </c>
      <c r="V123" s="72">
        <f t="shared" si="99"/>
        <v>-575.21274953204909</v>
      </c>
      <c r="W123" s="19" t="str">
        <f t="shared" si="100"/>
        <v xml:space="preserve"> </v>
      </c>
      <c r="X123" s="19">
        <f t="shared" si="113"/>
        <v>0</v>
      </c>
      <c r="Y123" s="73">
        <f t="shared" si="76"/>
        <v>-222.19193682845116</v>
      </c>
      <c r="Z123" s="19">
        <f>IF(P123-SUM(AB$5:AB123)+1&gt;0,IF(Dane_kredytowe!F$9&lt;B123,IF(SUM(AB$5:AB123)-Dane_kredytowe!F$16+1&gt;0,PMT(M123/12,P123+1-SUM(AB$5:AB123),N123),Y123),0),0)</f>
        <v>-404.60045120127364</v>
      </c>
      <c r="AA123" s="19">
        <f t="shared" si="125"/>
        <v>-182.40851437282248</v>
      </c>
      <c r="AB123" s="20">
        <f>IF(AND(Dane_kredytowe!F$9&lt;B123,SUM(AB$5:AB122)&lt;P122),1," ")</f>
        <v>1</v>
      </c>
      <c r="AD123" s="75">
        <f>IF(OR(B123&lt;Dane_kredytowe!F$15,Dane_kredytowe!F$15=""),-F123+S123,0)</f>
        <v>0</v>
      </c>
      <c r="AE123" s="75">
        <f t="shared" si="77"/>
        <v>404.60045120127364</v>
      </c>
      <c r="AG123" s="22">
        <f>Dane_kredytowe!F$17-SUM(AI$5:AI122)+SUM(W$42:W123)-SUM(X$42:X123)</f>
        <v>84035.54</v>
      </c>
      <c r="AH123" s="22">
        <f t="shared" si="78"/>
        <v>210.79</v>
      </c>
      <c r="AI123" s="22">
        <f t="shared" si="79"/>
        <v>264.26</v>
      </c>
      <c r="AJ123" s="22">
        <f t="shared" si="123"/>
        <v>475.04999999999995</v>
      </c>
      <c r="AK123" s="22">
        <f t="shared" si="80"/>
        <v>1758.26</v>
      </c>
      <c r="AL123" s="22">
        <f>Dane_kredytowe!F$8-SUM(AN$5:AN122)+SUM(R$42:R122)-SUM(S$42:S123)</f>
        <v>265000.13999999996</v>
      </c>
      <c r="AM123" s="22">
        <f t="shared" si="81"/>
        <v>664.71</v>
      </c>
      <c r="AN123" s="22">
        <f t="shared" si="82"/>
        <v>833.33</v>
      </c>
      <c r="AO123" s="22">
        <f t="shared" si="117"/>
        <v>1498.04</v>
      </c>
      <c r="AP123" s="22">
        <f t="shared" si="118"/>
        <v>260.22000000000003</v>
      </c>
      <c r="AR123" s="87">
        <f t="shared" si="83"/>
        <v>40848</v>
      </c>
      <c r="AS123" s="23">
        <f>AS$5+SUM(AV$5:AV122)-SUM(X$5:X123)+SUM(W$5:W123)</f>
        <v>129477.93610352151</v>
      </c>
      <c r="AT123" s="22">
        <f t="shared" si="84"/>
        <v>-324.77382305966643</v>
      </c>
      <c r="AU123" s="22">
        <f>IF(AB123=1,IF(Q123="tak",AT123,PMT(M123/12,P123+1-SUM(AB$5:AB123),AS123)),0)</f>
        <v>-591.39695717111965</v>
      </c>
      <c r="AV123" s="22">
        <f t="shared" si="119"/>
        <v>-266.62313411145323</v>
      </c>
      <c r="AW123" s="22">
        <f t="shared" si="85"/>
        <v>-2125.1258258987014</v>
      </c>
      <c r="AY123" s="23">
        <f>AY$5+SUM(BA$5:BA122)+SUM(W$5:W122)-SUM(X$5:X122)</f>
        <v>122832.93143784183</v>
      </c>
      <c r="AZ123" s="23">
        <f t="shared" si="86"/>
        <v>-324.77382305966643</v>
      </c>
      <c r="BA123" s="23">
        <f t="shared" si="87"/>
        <v>-386.27</v>
      </c>
      <c r="BB123" s="23">
        <f t="shared" si="124"/>
        <v>-711.04382305966647</v>
      </c>
      <c r="BC123" s="23">
        <f t="shared" si="88"/>
        <v>-2555.0648737826054</v>
      </c>
      <c r="BE123" s="88">
        <f t="shared" si="89"/>
        <v>4.9399999999999999E-2</v>
      </c>
      <c r="BF123" s="89">
        <f>BE123+Dane_kredytowe!F$12</f>
        <v>7.9399999999999998E-2</v>
      </c>
      <c r="BG123" s="23">
        <f>BG$5+SUM(BH$5:BH122)+SUM(R$5:R122)-SUM(S$5:S122)</f>
        <v>289541.62695299374</v>
      </c>
      <c r="BH123" s="22">
        <f t="shared" si="126"/>
        <v>-268.20338567062186</v>
      </c>
      <c r="BI123" s="22">
        <f t="shared" si="121"/>
        <v>-1915.8004316723084</v>
      </c>
      <c r="BJ123" s="22">
        <f>IF(U123&lt;0,PMT(BF123/12,Dane_kredytowe!F$13-SUM(AB$5:AB123)+1,BG123),0)</f>
        <v>-2184.0038173429302</v>
      </c>
      <c r="BL123" s="23">
        <f>BL$5+SUM(BN$5:BN122)+SUM(R$5:R122)-SUM(S$5:S122)</f>
        <v>265000</v>
      </c>
      <c r="BM123" s="23">
        <f t="shared" si="129"/>
        <v>-1753.4166666666667</v>
      </c>
      <c r="BN123" s="23">
        <f t="shared" si="91"/>
        <v>-833.33333333333337</v>
      </c>
      <c r="BO123" s="23">
        <f t="shared" si="130"/>
        <v>-2586.75</v>
      </c>
      <c r="BQ123" s="89">
        <f t="shared" si="93"/>
        <v>6.6099999999999992E-2</v>
      </c>
      <c r="BR123" s="23">
        <f>BR$5+SUM(BS$5:BS122)+SUM(R$5:R122)-SUM(S$5:S122)+SUM(BV$5:BV122)</f>
        <v>315283.15328108228</v>
      </c>
      <c r="BS123" s="22">
        <f t="shared" si="107"/>
        <v>-366.66256540206109</v>
      </c>
      <c r="BT123" s="22">
        <f t="shared" si="108"/>
        <v>-1736.6847026566281</v>
      </c>
      <c r="BU123" s="22">
        <f>IF(U123&lt;0,PMT(BQ123/12,Dane_kredytowe!F$13-SUM(AB$5:AB123)+1,BR123),0)</f>
        <v>-2103.3472680586892</v>
      </c>
      <c r="BV123" s="22">
        <f t="shared" si="101"/>
        <v>605.83926887163284</v>
      </c>
      <c r="BX123" s="23">
        <f>BX$5+SUM(BZ$5:BZ122)+SUM(R$5:R122)-SUM(S$5:S122)+SUM(CB$5,CB122)</f>
        <v>265673.99037649017</v>
      </c>
      <c r="BY123" s="22">
        <f t="shared" si="94"/>
        <v>-1463.4208969904996</v>
      </c>
      <c r="BZ123" s="22">
        <f t="shared" si="95"/>
        <v>-835.4527999260697</v>
      </c>
      <c r="CA123" s="22">
        <f t="shared" si="109"/>
        <v>-2298.8736969165693</v>
      </c>
      <c r="CB123" s="22">
        <f t="shared" si="110"/>
        <v>801.36569772951293</v>
      </c>
      <c r="CD123" s="22">
        <f>CD$5+SUM(CE$5:CE122)+SUM(R$5:R122)-SUM(S$5:S122)-SUM(CF$5:CF122)</f>
        <v>309869.14771746536</v>
      </c>
      <c r="CE123" s="22">
        <f t="shared" si="102"/>
        <v>1463.4208969904996</v>
      </c>
      <c r="CF123" s="22">
        <f t="shared" si="96"/>
        <v>1497.5079991870564</v>
      </c>
      <c r="CG123" s="22">
        <f t="shared" si="103"/>
        <v>34.087102196556771</v>
      </c>
      <c r="CI123" s="89">
        <f t="shared" si="97"/>
        <v>0.51139999999999997</v>
      </c>
      <c r="CJ123" s="22">
        <f t="shared" si="98"/>
        <v>-765.83</v>
      </c>
      <c r="CK123" s="15">
        <f t="shared" si="104"/>
        <v>0</v>
      </c>
      <c r="CM123" s="22">
        <f t="shared" si="105"/>
        <v>-55163.708944511804</v>
      </c>
      <c r="CN123" s="15">
        <f t="shared" si="111"/>
        <v>-227.09060182157359</v>
      </c>
    </row>
    <row r="124" spans="1:92">
      <c r="A124" s="25"/>
      <c r="B124" s="80">
        <v>40878</v>
      </c>
      <c r="C124" s="81">
        <f t="shared" si="72"/>
        <v>3.6467999999999998</v>
      </c>
      <c r="D124" s="82">
        <f t="shared" si="106"/>
        <v>3.7562039999999999</v>
      </c>
      <c r="E124" s="73">
        <f t="shared" si="115"/>
        <v>-404.60045120127364</v>
      </c>
      <c r="F124" s="19">
        <f t="shared" si="127"/>
        <v>-1519.7618332040288</v>
      </c>
      <c r="G124" s="19">
        <f t="shared" si="116"/>
        <v>-1275.8797954009733</v>
      </c>
      <c r="H124" s="19">
        <f t="shared" si="128"/>
        <v>243.88203780305548</v>
      </c>
      <c r="I124" s="62"/>
      <c r="J124" s="15" t="str">
        <f t="shared" si="114"/>
        <v xml:space="preserve"> </v>
      </c>
      <c r="K124" s="15">
        <f>IF(B124&lt;=Dane_kredytowe!F$9,0,K123+1)</f>
        <v>44</v>
      </c>
      <c r="L124" s="83">
        <f t="shared" si="73"/>
        <v>1E-4</v>
      </c>
      <c r="M124" s="84">
        <f>L124+Dane_kredytowe!F$12</f>
        <v>3.0099999999999998E-2</v>
      </c>
      <c r="N124" s="79">
        <f>MAX(Dane_kredytowe!F$17+SUM(AA$5:AA123)-SUM(X$5:X124)+SUM(W$5:W124),0)</f>
        <v>88399.094540159218</v>
      </c>
      <c r="O124" s="85">
        <f>MAX(Dane_kredytowe!F$8+SUM(V$5:V123)-SUM(S$5:S124)+SUM(R$5:R123),0)</f>
        <v>278760.48660020524</v>
      </c>
      <c r="P124" s="67">
        <f t="shared" si="122"/>
        <v>360</v>
      </c>
      <c r="Q124" s="127" t="str">
        <f>IF(AND(K124&gt;0,K124&lt;=Dane_kredytowe!F$16),"tak","nie")</f>
        <v>nie</v>
      </c>
      <c r="R124" s="69"/>
      <c r="S124" s="86">
        <f>IF(Dane_kredytowe!F$19=B124,O123+V123,_xlfn.XLOOKUP(B124,Dane_kredytowe!M$9:M$18,Dane_kredytowe!N$9:N$18,0))</f>
        <v>0</v>
      </c>
      <c r="T124" s="71">
        <f t="shared" si="74"/>
        <v>-699.22422055551476</v>
      </c>
      <c r="U124" s="72">
        <f>IF(Q124="tak",T124,IF(P124-SUM(AB$5:AB124)+1&gt;0,IF(Dane_kredytowe!F$9&lt;B124,IF(SUM(AB$5:AB124)-Dane_kredytowe!F$16+1&gt;0,PMT(M124/12,P124+1-SUM(AB$5:AB124),O124),T124),0),0))</f>
        <v>-1275.8797954009733</v>
      </c>
      <c r="V124" s="72">
        <f t="shared" si="99"/>
        <v>-576.65557484545855</v>
      </c>
      <c r="W124" s="19" t="str">
        <f t="shared" si="100"/>
        <v xml:space="preserve"> </v>
      </c>
      <c r="X124" s="19">
        <f t="shared" si="113"/>
        <v>0</v>
      </c>
      <c r="Y124" s="73">
        <f t="shared" si="76"/>
        <v>-221.73439547156602</v>
      </c>
      <c r="Z124" s="19">
        <f>IF(P124-SUM(AB$5:AB124)+1&gt;0,IF(Dane_kredytowe!F$9&lt;B124,IF(SUM(AB$5:AB124)-Dane_kredytowe!F$16+1&gt;0,PMT(M124/12,P124+1-SUM(AB$5:AB124),N124),Y124),0),0)</f>
        <v>-404.60045120127364</v>
      </c>
      <c r="AA124" s="19">
        <f t="shared" si="125"/>
        <v>-182.86605572970763</v>
      </c>
      <c r="AB124" s="20">
        <f>IF(AND(Dane_kredytowe!F$9&lt;B124,SUM(AB$5:AB123)&lt;P123),1," ")</f>
        <v>1</v>
      </c>
      <c r="AD124" s="75">
        <f>IF(OR(B124&lt;Dane_kredytowe!F$15,Dane_kredytowe!F$15=""),-F124+S124,0)</f>
        <v>0</v>
      </c>
      <c r="AE124" s="75">
        <f t="shared" si="77"/>
        <v>404.60045120127364</v>
      </c>
      <c r="AG124" s="22">
        <f>Dane_kredytowe!F$17-SUM(AI$5:AI123)+SUM(W$42:W124)-SUM(X$42:X124)</f>
        <v>83771.28</v>
      </c>
      <c r="AH124" s="22">
        <f t="shared" si="78"/>
        <v>210.13</v>
      </c>
      <c r="AI124" s="22">
        <f t="shared" si="79"/>
        <v>264.26</v>
      </c>
      <c r="AJ124" s="22">
        <f t="shared" si="123"/>
        <v>474.39</v>
      </c>
      <c r="AK124" s="22">
        <f t="shared" si="80"/>
        <v>1781.91</v>
      </c>
      <c r="AL124" s="22">
        <f>Dane_kredytowe!F$8-SUM(AN$5:AN123)+SUM(R$42:R123)-SUM(S$42:S124)</f>
        <v>264166.80999999994</v>
      </c>
      <c r="AM124" s="22">
        <f t="shared" si="81"/>
        <v>662.62</v>
      </c>
      <c r="AN124" s="22">
        <f t="shared" si="82"/>
        <v>833.33</v>
      </c>
      <c r="AO124" s="22">
        <f t="shared" si="117"/>
        <v>1495.95</v>
      </c>
      <c r="AP124" s="22">
        <f t="shared" si="118"/>
        <v>285.96000000000004</v>
      </c>
      <c r="AR124" s="87">
        <f t="shared" si="83"/>
        <v>40878</v>
      </c>
      <c r="AS124" s="23">
        <f>AS$5+SUM(AV$5:AV123)-SUM(X$5:X124)+SUM(W$5:W124)</f>
        <v>129211.31296941005</v>
      </c>
      <c r="AT124" s="22">
        <f t="shared" si="84"/>
        <v>-324.10504336493688</v>
      </c>
      <c r="AU124" s="22">
        <f>IF(AB124=1,IF(Q124="tak",AT124,PMT(M124/12,P124+1-SUM(AB$5:AB124),AS124)),0)</f>
        <v>-591.39695717111954</v>
      </c>
      <c r="AV124" s="22">
        <f t="shared" si="119"/>
        <v>-267.29191380618266</v>
      </c>
      <c r="AW124" s="22">
        <f t="shared" si="85"/>
        <v>-2156.7064234116388</v>
      </c>
      <c r="AY124" s="23">
        <f>AY$5+SUM(BA$5:BA123)+SUM(W$5:W123)-SUM(X$5:X123)</f>
        <v>122446.66143784183</v>
      </c>
      <c r="AZ124" s="23">
        <f t="shared" si="86"/>
        <v>-324.10504336493688</v>
      </c>
      <c r="BA124" s="23">
        <f t="shared" si="87"/>
        <v>-386.27</v>
      </c>
      <c r="BB124" s="23">
        <f t="shared" si="124"/>
        <v>-710.3750433649368</v>
      </c>
      <c r="BC124" s="23">
        <f t="shared" si="88"/>
        <v>-2590.5957081432516</v>
      </c>
      <c r="BE124" s="88">
        <f t="shared" si="89"/>
        <v>4.9799999999999997E-2</v>
      </c>
      <c r="BF124" s="89">
        <f>BE124+Dane_kredytowe!F$12</f>
        <v>7.9799999999999996E-2</v>
      </c>
      <c r="BG124" s="23">
        <f>BG$5+SUM(BH$5:BH123)+SUM(R$5:R123)-SUM(S$5:S123)</f>
        <v>289273.42356732313</v>
      </c>
      <c r="BH124" s="22">
        <f t="shared" si="126"/>
        <v>-268.10984396135473</v>
      </c>
      <c r="BI124" s="22">
        <f t="shared" si="121"/>
        <v>-1923.6682667226987</v>
      </c>
      <c r="BJ124" s="22">
        <f>IF(U124&lt;0,PMT(BF124/12,Dane_kredytowe!F$13-SUM(AB$5:AB124)+1,BG124),0)</f>
        <v>-2191.7781106840534</v>
      </c>
      <c r="BL124" s="23">
        <f>BL$5+SUM(BN$5:BN123)+SUM(R$5:R123)-SUM(S$5:S123)</f>
        <v>264166.66666666669</v>
      </c>
      <c r="BM124" s="23">
        <f t="shared" si="129"/>
        <v>-1756.7083333333333</v>
      </c>
      <c r="BN124" s="23">
        <f t="shared" si="91"/>
        <v>-833.33333333333337</v>
      </c>
      <c r="BO124" s="23">
        <f t="shared" si="130"/>
        <v>-2590.0416666666665</v>
      </c>
      <c r="BQ124" s="89">
        <f t="shared" si="93"/>
        <v>6.6500000000000004E-2</v>
      </c>
      <c r="BR124" s="23">
        <f>BR$5+SUM(BS$5:BS123)+SUM(R$5:R123)-SUM(S$5:S123)+SUM(BV$5:BV123)</f>
        <v>315522.32998455182</v>
      </c>
      <c r="BS124" s="22">
        <f t="shared" si="107"/>
        <v>-366.92682399005685</v>
      </c>
      <c r="BT124" s="22">
        <f t="shared" si="108"/>
        <v>-1748.5195786643915</v>
      </c>
      <c r="BU124" s="22">
        <f>IF(U124&lt;0,PMT(BQ124/12,Dane_kredytowe!F$13-SUM(AB$5:AB124)+1,BR124),0)</f>
        <v>-2115.4464026544483</v>
      </c>
      <c r="BV124" s="22">
        <f t="shared" si="101"/>
        <v>595.68456945041953</v>
      </c>
      <c r="BX124" s="23">
        <f>BX$5+SUM(BZ$5:BZ123)+SUM(R$5:R123)-SUM(S$5:S123)+SUM(CB$5,CB123)</f>
        <v>264844.81148298451</v>
      </c>
      <c r="BY124" s="22">
        <f t="shared" si="94"/>
        <v>-1467.6816636348724</v>
      </c>
      <c r="BZ124" s="22">
        <f t="shared" si="95"/>
        <v>-835.47259142897326</v>
      </c>
      <c r="CA124" s="22">
        <f t="shared" si="109"/>
        <v>-2303.1542550638455</v>
      </c>
      <c r="CB124" s="22">
        <f t="shared" si="110"/>
        <v>783.39242185981675</v>
      </c>
      <c r="CD124" s="22">
        <f>CD$5+SUM(CE$5:CE123)+SUM(R$5:R123)-SUM(S$5:S123)-SUM(CF$5:CF123)</f>
        <v>309835.06061526877</v>
      </c>
      <c r="CE124" s="22">
        <f t="shared" si="102"/>
        <v>1467.6816636348724</v>
      </c>
      <c r="CF124" s="22">
        <f t="shared" si="96"/>
        <v>1519.7618332040288</v>
      </c>
      <c r="CG124" s="22">
        <f t="shared" si="103"/>
        <v>52.080169569156396</v>
      </c>
      <c r="CI124" s="89">
        <f t="shared" si="97"/>
        <v>0.50539999999999996</v>
      </c>
      <c r="CJ124" s="22">
        <f t="shared" si="98"/>
        <v>-768.09</v>
      </c>
      <c r="CK124" s="15">
        <f t="shared" si="104"/>
        <v>0</v>
      </c>
      <c r="CM124" s="22">
        <f t="shared" si="105"/>
        <v>-56683.470777715833</v>
      </c>
      <c r="CN124" s="15">
        <f t="shared" si="111"/>
        <v>-235.2364037275207</v>
      </c>
    </row>
    <row r="125" spans="1:92">
      <c r="A125" s="25">
        <v>2012</v>
      </c>
      <c r="B125" s="80">
        <v>40909</v>
      </c>
      <c r="C125" s="81">
        <f t="shared" si="72"/>
        <v>3.6135000000000002</v>
      </c>
      <c r="D125" s="82">
        <f t="shared" si="106"/>
        <v>3.7219050000000005</v>
      </c>
      <c r="E125" s="73">
        <f t="shared" si="115"/>
        <v>-404.60045120127353</v>
      </c>
      <c r="F125" s="19">
        <f t="shared" si="127"/>
        <v>-1505.8844423282762</v>
      </c>
      <c r="G125" s="19">
        <f t="shared" si="116"/>
        <v>-1275.8797954009733</v>
      </c>
      <c r="H125" s="19">
        <f t="shared" si="128"/>
        <v>230.00464692730293</v>
      </c>
      <c r="I125" s="62"/>
      <c r="J125" s="15" t="str">
        <f t="shared" si="114"/>
        <v xml:space="preserve"> </v>
      </c>
      <c r="K125" s="15">
        <f>IF(B125&lt;=Dane_kredytowe!F$9,0,K124+1)</f>
        <v>45</v>
      </c>
      <c r="L125" s="83">
        <f t="shared" si="73"/>
        <v>1E-4</v>
      </c>
      <c r="M125" s="84">
        <f>L125+Dane_kredytowe!F$12</f>
        <v>3.0099999999999998E-2</v>
      </c>
      <c r="N125" s="79">
        <f>MAX(Dane_kredytowe!F$17+SUM(AA$5:AA124)-SUM(X$5:X125)+SUM(W$5:W125),0)</f>
        <v>88216.228484429506</v>
      </c>
      <c r="O125" s="85">
        <f>MAX(Dane_kredytowe!F$8+SUM(V$5:V124)-SUM(S$5:S125)+SUM(R$5:R124),0)</f>
        <v>278183.8310253598</v>
      </c>
      <c r="P125" s="67">
        <f t="shared" si="122"/>
        <v>360</v>
      </c>
      <c r="Q125" s="127" t="str">
        <f>IF(AND(K125&gt;0,K125&lt;=Dane_kredytowe!F$16),"tak","nie")</f>
        <v>nie</v>
      </c>
      <c r="R125" s="69"/>
      <c r="S125" s="86">
        <f>IF(Dane_kredytowe!F$19=B125,O124+V124,_xlfn.XLOOKUP(B125,Dane_kredytowe!M$9:M$18,Dane_kredytowe!N$9:N$18,0))</f>
        <v>0</v>
      </c>
      <c r="T125" s="71">
        <f t="shared" si="74"/>
        <v>-697.77777615527748</v>
      </c>
      <c r="U125" s="72">
        <f>IF(Q125="tak",T125,IF(P125-SUM(AB$5:AB125)+1&gt;0,IF(Dane_kredytowe!F$9&lt;B125,IF(SUM(AB$5:AB125)-Dane_kredytowe!F$16+1&gt;0,PMT(M125/12,P125+1-SUM(AB$5:AB125),O125),T125),0),0))</f>
        <v>-1275.8797954009733</v>
      </c>
      <c r="V125" s="72">
        <f t="shared" si="99"/>
        <v>-578.10201924569583</v>
      </c>
      <c r="W125" s="19" t="str">
        <f t="shared" si="100"/>
        <v xml:space="preserve"> </v>
      </c>
      <c r="X125" s="19">
        <f t="shared" si="113"/>
        <v>0</v>
      </c>
      <c r="Y125" s="73">
        <f t="shared" si="76"/>
        <v>-221.275706448444</v>
      </c>
      <c r="Z125" s="19">
        <f>IF(P125-SUM(AB$5:AB125)+1&gt;0,IF(Dane_kredytowe!F$9&lt;B125,IF(SUM(AB$5:AB125)-Dane_kredytowe!F$16+1&gt;0,PMT(M125/12,P125+1-SUM(AB$5:AB125),N125),Y125),0),0)</f>
        <v>-404.60045120127353</v>
      </c>
      <c r="AA125" s="19">
        <f t="shared" si="125"/>
        <v>-183.32474475282953</v>
      </c>
      <c r="AB125" s="20">
        <f>IF(AND(Dane_kredytowe!F$9&lt;B125,SUM(AB$5:AB124)&lt;P124),1," ")</f>
        <v>1</v>
      </c>
      <c r="AD125" s="75">
        <f>IF(OR(B125&lt;Dane_kredytowe!F$15,Dane_kredytowe!F$15=""),-F125+S125,0)</f>
        <v>0</v>
      </c>
      <c r="AE125" s="75">
        <f t="shared" si="77"/>
        <v>404.60045120127353</v>
      </c>
      <c r="AG125" s="22">
        <f>Dane_kredytowe!F$17-SUM(AI$5:AI124)+SUM(W$42:W125)-SUM(X$42:X125)</f>
        <v>83507.02</v>
      </c>
      <c r="AH125" s="22">
        <f t="shared" si="78"/>
        <v>209.46</v>
      </c>
      <c r="AI125" s="22">
        <f t="shared" si="79"/>
        <v>264.26</v>
      </c>
      <c r="AJ125" s="22">
        <f t="shared" si="123"/>
        <v>473.72</v>
      </c>
      <c r="AK125" s="22">
        <f t="shared" si="80"/>
        <v>1763.14</v>
      </c>
      <c r="AL125" s="22">
        <f>Dane_kredytowe!F$8-SUM(AN$5:AN124)+SUM(R$42:R124)-SUM(S$42:S125)</f>
        <v>263333.48</v>
      </c>
      <c r="AM125" s="22">
        <f t="shared" si="81"/>
        <v>660.53</v>
      </c>
      <c r="AN125" s="22">
        <f t="shared" si="82"/>
        <v>833.33</v>
      </c>
      <c r="AO125" s="22">
        <f t="shared" si="117"/>
        <v>1493.8600000000001</v>
      </c>
      <c r="AP125" s="22">
        <f t="shared" si="118"/>
        <v>269.27999999999997</v>
      </c>
      <c r="AR125" s="87">
        <f t="shared" si="83"/>
        <v>40909</v>
      </c>
      <c r="AS125" s="23">
        <f>AS$5+SUM(AV$5:AV124)-SUM(X$5:X125)+SUM(W$5:W125)</f>
        <v>128944.02105560387</v>
      </c>
      <c r="AT125" s="22">
        <f t="shared" si="84"/>
        <v>-323.43458614780633</v>
      </c>
      <c r="AU125" s="22">
        <f>IF(AB125=1,IF(Q125="tak",AT125,PMT(M125/12,P125+1-SUM(AB$5:AB125),AS125)),0)</f>
        <v>-591.39695717111942</v>
      </c>
      <c r="AV125" s="22">
        <f t="shared" si="119"/>
        <v>-267.9623710233131</v>
      </c>
      <c r="AW125" s="22">
        <f t="shared" si="85"/>
        <v>-2137.01290473784</v>
      </c>
      <c r="AY125" s="23">
        <f>AY$5+SUM(BA$5:BA124)+SUM(W$5:W124)-SUM(X$5:X124)</f>
        <v>122060.39143784184</v>
      </c>
      <c r="AZ125" s="23">
        <f t="shared" si="86"/>
        <v>-323.43458614780633</v>
      </c>
      <c r="BA125" s="23">
        <f t="shared" si="87"/>
        <v>-386.27</v>
      </c>
      <c r="BB125" s="23">
        <f t="shared" si="124"/>
        <v>-709.70458614780637</v>
      </c>
      <c r="BC125" s="23">
        <f t="shared" si="88"/>
        <v>-2564.5175220450983</v>
      </c>
      <c r="BE125" s="88">
        <f t="shared" si="89"/>
        <v>4.99E-2</v>
      </c>
      <c r="BF125" s="89">
        <f>BE125+Dane_kredytowe!F$12</f>
        <v>7.9899999999999999E-2</v>
      </c>
      <c r="BG125" s="23">
        <f>BG$5+SUM(BH$5:BH124)+SUM(R$5:R124)-SUM(S$5:S124)</f>
        <v>289005.31372336176</v>
      </c>
      <c r="BH125" s="22">
        <f t="shared" si="126"/>
        <v>-269.42615884577231</v>
      </c>
      <c r="BI125" s="22">
        <f t="shared" si="121"/>
        <v>-1924.2937138747172</v>
      </c>
      <c r="BJ125" s="22">
        <f>IF(U125&lt;0,PMT(BF125/12,Dane_kredytowe!F$13-SUM(AB$5:AB125)+1,BG125),0)</f>
        <v>-2193.7198727204895</v>
      </c>
      <c r="BL125" s="23">
        <f>BL$5+SUM(BN$5:BN124)+SUM(R$5:R124)-SUM(S$5:S124)</f>
        <v>263333.33333333337</v>
      </c>
      <c r="BM125" s="23">
        <f t="shared" si="129"/>
        <v>-1753.3611111111113</v>
      </c>
      <c r="BN125" s="23">
        <f t="shared" si="91"/>
        <v>-833.33333333333348</v>
      </c>
      <c r="BO125" s="23">
        <f t="shared" si="130"/>
        <v>-2586.6944444444448</v>
      </c>
      <c r="BQ125" s="89">
        <f t="shared" si="93"/>
        <v>6.6599999999999993E-2</v>
      </c>
      <c r="BR125" s="23">
        <f>BR$5+SUM(BS$5:BS124)+SUM(R$5:R124)-SUM(S$5:S124)+SUM(BV$5:BV124)</f>
        <v>315751.08773001219</v>
      </c>
      <c r="BS125" s="22">
        <f t="shared" si="107"/>
        <v>-369.04131500460312</v>
      </c>
      <c r="BT125" s="22">
        <f t="shared" si="108"/>
        <v>-1752.4185369015674</v>
      </c>
      <c r="BU125" s="22">
        <f>IF(U125&lt;0,PMT(BQ125/12,Dane_kredytowe!F$13-SUM(AB$5:AB125)+1,BR125),0)</f>
        <v>-2121.4598519061706</v>
      </c>
      <c r="BV125" s="22">
        <f t="shared" si="101"/>
        <v>615.57540957789433</v>
      </c>
      <c r="BX125" s="23">
        <f>BX$5+SUM(BZ$5:BZ124)+SUM(R$5:R124)-SUM(S$5:S124)+SUM(CB$5,CB124)</f>
        <v>263991.36561568582</v>
      </c>
      <c r="BY125" s="22">
        <f t="shared" si="94"/>
        <v>-1465.1520791670562</v>
      </c>
      <c r="BZ125" s="22">
        <f t="shared" si="95"/>
        <v>-835.41571397368932</v>
      </c>
      <c r="CA125" s="22">
        <f t="shared" si="109"/>
        <v>-2300.5677931407454</v>
      </c>
      <c r="CB125" s="22">
        <f t="shared" si="110"/>
        <v>794.68335081246914</v>
      </c>
      <c r="CD125" s="22">
        <f>CD$5+SUM(CE$5:CE124)+SUM(R$5:R124)-SUM(S$5:S124)-SUM(CF$5:CF124)</f>
        <v>309782.98044569965</v>
      </c>
      <c r="CE125" s="22">
        <f t="shared" si="102"/>
        <v>1465.1520791670562</v>
      </c>
      <c r="CF125" s="22">
        <f t="shared" si="96"/>
        <v>1505.8844423282762</v>
      </c>
      <c r="CG125" s="22">
        <f t="shared" si="103"/>
        <v>40.732363161220064</v>
      </c>
      <c r="CI125" s="89">
        <f t="shared" si="97"/>
        <v>0.495</v>
      </c>
      <c r="CJ125" s="22">
        <f t="shared" si="98"/>
        <v>-745.41</v>
      </c>
      <c r="CK125" s="15">
        <f t="shared" si="104"/>
        <v>0</v>
      </c>
      <c r="CM125" s="22">
        <f t="shared" si="105"/>
        <v>-58189.355220044112</v>
      </c>
      <c r="CN125" s="15">
        <f t="shared" si="111"/>
        <v>-241.97073545668343</v>
      </c>
    </row>
    <row r="126" spans="1:92">
      <c r="A126" s="25"/>
      <c r="B126" s="80">
        <v>40940</v>
      </c>
      <c r="C126" s="81">
        <f t="shared" si="72"/>
        <v>3.4660000000000002</v>
      </c>
      <c r="D126" s="82">
        <f t="shared" si="106"/>
        <v>3.5699800000000002</v>
      </c>
      <c r="E126" s="73">
        <f t="shared" si="115"/>
        <v>-404.6004512012737</v>
      </c>
      <c r="F126" s="19">
        <f t="shared" si="127"/>
        <v>-1444.4155187795232</v>
      </c>
      <c r="G126" s="19">
        <f t="shared" si="116"/>
        <v>-1275.8797954009733</v>
      </c>
      <c r="H126" s="19">
        <f t="shared" si="128"/>
        <v>168.53572337854985</v>
      </c>
      <c r="I126" s="62"/>
      <c r="J126" s="15" t="str">
        <f t="shared" si="114"/>
        <v xml:space="preserve"> </v>
      </c>
      <c r="K126" s="15">
        <f>IF(B126&lt;=Dane_kredytowe!F$9,0,K125+1)</f>
        <v>46</v>
      </c>
      <c r="L126" s="83">
        <f t="shared" si="73"/>
        <v>1E-4</v>
      </c>
      <c r="M126" s="84">
        <f>L126+Dane_kredytowe!F$12</f>
        <v>3.0099999999999998E-2</v>
      </c>
      <c r="N126" s="79">
        <f>MAX(Dane_kredytowe!F$17+SUM(AA$5:AA125)-SUM(X$5:X126)+SUM(W$5:W126),0)</f>
        <v>88032.90373967668</v>
      </c>
      <c r="O126" s="85">
        <f>MAX(Dane_kredytowe!F$8+SUM(V$5:V125)-SUM(S$5:S126)+SUM(R$5:R125),0)</f>
        <v>277605.72900611407</v>
      </c>
      <c r="P126" s="67">
        <f t="shared" si="122"/>
        <v>360</v>
      </c>
      <c r="Q126" s="127" t="str">
        <f>IF(AND(K126&gt;0,K126&lt;=Dane_kredytowe!F$16),"tak","nie")</f>
        <v>nie</v>
      </c>
      <c r="R126" s="69"/>
      <c r="S126" s="86">
        <f>IF(Dane_kredytowe!F$19=B126,O125+V125,_xlfn.XLOOKUP(B126,Dane_kredytowe!M$9:M$18,Dane_kredytowe!N$9:N$18,0))</f>
        <v>0</v>
      </c>
      <c r="T126" s="71">
        <f t="shared" si="74"/>
        <v>-696.32770359033611</v>
      </c>
      <c r="U126" s="72">
        <f>IF(Q126="tak",T126,IF(P126-SUM(AB$5:AB126)+1&gt;0,IF(Dane_kredytowe!F$9&lt;B126,IF(SUM(AB$5:AB126)-Dane_kredytowe!F$16+1&gt;0,PMT(M126/12,P126+1-SUM(AB$5:AB126),O126),T126),0),0))</f>
        <v>-1275.8797954009733</v>
      </c>
      <c r="V126" s="72">
        <f t="shared" si="99"/>
        <v>-579.55209181063719</v>
      </c>
      <c r="W126" s="19" t="str">
        <f t="shared" si="100"/>
        <v xml:space="preserve"> </v>
      </c>
      <c r="X126" s="19">
        <f t="shared" si="113"/>
        <v>0</v>
      </c>
      <c r="Y126" s="73">
        <f t="shared" si="76"/>
        <v>-220.81586688035566</v>
      </c>
      <c r="Z126" s="19">
        <f>IF(P126-SUM(AB$5:AB126)+1&gt;0,IF(Dane_kredytowe!F$9&lt;B126,IF(SUM(AB$5:AB126)-Dane_kredytowe!F$16+1&gt;0,PMT(M126/12,P126+1-SUM(AB$5:AB126),N126),Y126),0),0)</f>
        <v>-404.6004512012737</v>
      </c>
      <c r="AA126" s="19">
        <f t="shared" si="125"/>
        <v>-183.78458432091804</v>
      </c>
      <c r="AB126" s="20">
        <f>IF(AND(Dane_kredytowe!F$9&lt;B126,SUM(AB$5:AB125)&lt;P125),1," ")</f>
        <v>1</v>
      </c>
      <c r="AD126" s="75">
        <f>IF(OR(B126&lt;Dane_kredytowe!F$15,Dane_kredytowe!F$15=""),-F126+S126,0)</f>
        <v>0</v>
      </c>
      <c r="AE126" s="75">
        <f t="shared" si="77"/>
        <v>404.6004512012737</v>
      </c>
      <c r="AG126" s="22">
        <f>Dane_kredytowe!F$17-SUM(AI$5:AI125)+SUM(W$42:W126)-SUM(X$42:X126)</f>
        <v>83242.759999999995</v>
      </c>
      <c r="AH126" s="22">
        <f t="shared" si="78"/>
        <v>208.8</v>
      </c>
      <c r="AI126" s="22">
        <f t="shared" si="79"/>
        <v>264.26</v>
      </c>
      <c r="AJ126" s="22">
        <f t="shared" si="123"/>
        <v>473.06</v>
      </c>
      <c r="AK126" s="22">
        <f t="shared" si="80"/>
        <v>1688.81</v>
      </c>
      <c r="AL126" s="22">
        <f>Dane_kredytowe!F$8-SUM(AN$5:AN125)+SUM(R$42:R125)-SUM(S$42:S126)</f>
        <v>262500.14999999997</v>
      </c>
      <c r="AM126" s="22">
        <f t="shared" si="81"/>
        <v>658.44</v>
      </c>
      <c r="AN126" s="22">
        <f t="shared" si="82"/>
        <v>833.33</v>
      </c>
      <c r="AO126" s="22">
        <f t="shared" si="117"/>
        <v>1491.77</v>
      </c>
      <c r="AP126" s="22">
        <f t="shared" si="118"/>
        <v>197.03999999999996</v>
      </c>
      <c r="AR126" s="87">
        <f t="shared" si="83"/>
        <v>40940</v>
      </c>
      <c r="AS126" s="23">
        <f>AS$5+SUM(AV$5:AV125)-SUM(X$5:X126)+SUM(W$5:W126)</f>
        <v>128676.05868458055</v>
      </c>
      <c r="AT126" s="22">
        <f t="shared" si="84"/>
        <v>-322.76244720048953</v>
      </c>
      <c r="AU126" s="22">
        <f>IF(AB126=1,IF(Q126="tak",AT126,PMT(M126/12,P126+1-SUM(AB$5:AB126),AS126)),0)</f>
        <v>-591.39695717111965</v>
      </c>
      <c r="AV126" s="22">
        <f t="shared" si="119"/>
        <v>-268.63450997063012</v>
      </c>
      <c r="AW126" s="22">
        <f t="shared" si="85"/>
        <v>-2049.781853555101</v>
      </c>
      <c r="AY126" s="23">
        <f>AY$5+SUM(BA$5:BA125)+SUM(W$5:W125)-SUM(X$5:X125)</f>
        <v>121674.12143784184</v>
      </c>
      <c r="AZ126" s="23">
        <f t="shared" si="86"/>
        <v>-322.76244720048953</v>
      </c>
      <c r="BA126" s="23">
        <f t="shared" si="87"/>
        <v>-386.27</v>
      </c>
      <c r="BB126" s="23">
        <f t="shared" si="124"/>
        <v>-709.03244720048951</v>
      </c>
      <c r="BC126" s="23">
        <f t="shared" si="88"/>
        <v>-2457.5064619968966</v>
      </c>
      <c r="BE126" s="88">
        <f t="shared" si="89"/>
        <v>4.9700000000000001E-2</v>
      </c>
      <c r="BF126" s="89">
        <f>BE126+Dane_kredytowe!F$12</f>
        <v>7.9699999999999993E-2</v>
      </c>
      <c r="BG126" s="23">
        <f>BG$5+SUM(BH$5:BH125)+SUM(R$5:R125)-SUM(S$5:S125)</f>
        <v>288735.88756451599</v>
      </c>
      <c r="BH126" s="22">
        <f t="shared" si="126"/>
        <v>-272.15659834537337</v>
      </c>
      <c r="BI126" s="22">
        <f t="shared" si="121"/>
        <v>-1917.6875199076603</v>
      </c>
      <c r="BJ126" s="22">
        <f>IF(U126&lt;0,PMT(BF126/12,Dane_kredytowe!F$13-SUM(AB$5:AB126)+1,BG126),0)</f>
        <v>-2189.8441182530337</v>
      </c>
      <c r="BL126" s="23">
        <f>BL$5+SUM(BN$5:BN125)+SUM(R$5:R125)-SUM(S$5:S125)</f>
        <v>262500</v>
      </c>
      <c r="BM126" s="23">
        <f t="shared" si="129"/>
        <v>-1743.4375</v>
      </c>
      <c r="BN126" s="23">
        <f t="shared" si="91"/>
        <v>-833.33333333333337</v>
      </c>
      <c r="BO126" s="23">
        <f t="shared" si="130"/>
        <v>-2576.7708333333335</v>
      </c>
      <c r="BQ126" s="89">
        <f t="shared" si="93"/>
        <v>6.6400000000000001E-2</v>
      </c>
      <c r="BR126" s="23">
        <f>BR$5+SUM(BS$5:BS125)+SUM(R$5:R125)-SUM(S$5:S125)+SUM(BV$5:BV125)</f>
        <v>315997.62182458548</v>
      </c>
      <c r="BS126" s="22">
        <f t="shared" si="107"/>
        <v>-373.0517505176756</v>
      </c>
      <c r="BT126" s="22">
        <f t="shared" si="108"/>
        <v>-1748.5201740960399</v>
      </c>
      <c r="BU126" s="22">
        <f>IF(U126&lt;0,PMT(BQ126/12,Dane_kredytowe!F$13-SUM(AB$5:AB126)+1,BR126),0)</f>
        <v>-2121.5719246137155</v>
      </c>
      <c r="BV126" s="22">
        <f t="shared" si="101"/>
        <v>677.15640583419236</v>
      </c>
      <c r="BX126" s="23">
        <f>BX$5+SUM(BZ$5:BZ125)+SUM(R$5:R125)-SUM(S$5:S125)+SUM(CB$5,CB125)</f>
        <v>263167.24083066476</v>
      </c>
      <c r="BY126" s="22">
        <f t="shared" si="94"/>
        <v>-1456.1920659296784</v>
      </c>
      <c r="BZ126" s="22">
        <f t="shared" si="95"/>
        <v>-835.4515581925865</v>
      </c>
      <c r="CA126" s="22">
        <f t="shared" si="109"/>
        <v>-2291.643624122265</v>
      </c>
      <c r="CB126" s="22">
        <f t="shared" si="110"/>
        <v>847.22810534274186</v>
      </c>
      <c r="CD126" s="22">
        <f>CD$5+SUM(CE$5:CE125)+SUM(R$5:R125)-SUM(S$5:S125)-SUM(CF$5:CF125)</f>
        <v>309742.24808253843</v>
      </c>
      <c r="CE126" s="22">
        <f t="shared" si="102"/>
        <v>1456.1920659296784</v>
      </c>
      <c r="CF126" s="22">
        <f t="shared" si="96"/>
        <v>1444.4155187795232</v>
      </c>
      <c r="CG126" s="22">
        <f t="shared" si="103"/>
        <v>-11.776547150155238</v>
      </c>
      <c r="CI126" s="89">
        <f t="shared" si="97"/>
        <v>0.48899999999999999</v>
      </c>
      <c r="CJ126" s="22">
        <f t="shared" si="98"/>
        <v>-706.32</v>
      </c>
      <c r="CK126" s="15">
        <f t="shared" si="104"/>
        <v>0</v>
      </c>
      <c r="CM126" s="22">
        <f t="shared" si="105"/>
        <v>-59633.770738823638</v>
      </c>
      <c r="CN126" s="15">
        <f t="shared" si="111"/>
        <v>-246.9832004766279</v>
      </c>
    </row>
    <row r="127" spans="1:92">
      <c r="A127" s="25"/>
      <c r="B127" s="80">
        <v>40969</v>
      </c>
      <c r="C127" s="81">
        <f t="shared" si="72"/>
        <v>3.43</v>
      </c>
      <c r="D127" s="82">
        <f t="shared" si="106"/>
        <v>3.5329000000000002</v>
      </c>
      <c r="E127" s="73">
        <f t="shared" si="115"/>
        <v>-404.60045120127364</v>
      </c>
      <c r="F127" s="19">
        <f t="shared" si="127"/>
        <v>-1429.4129340489797</v>
      </c>
      <c r="G127" s="19">
        <f t="shared" si="116"/>
        <v>-1275.8797954009733</v>
      </c>
      <c r="H127" s="19">
        <f t="shared" si="128"/>
        <v>153.53313864800634</v>
      </c>
      <c r="I127" s="62"/>
      <c r="J127" s="15" t="str">
        <f t="shared" si="114"/>
        <v xml:space="preserve"> </v>
      </c>
      <c r="K127" s="15">
        <f>IF(B127&lt;=Dane_kredytowe!F$9,0,K126+1)</f>
        <v>47</v>
      </c>
      <c r="L127" s="83">
        <f t="shared" si="73"/>
        <v>1E-4</v>
      </c>
      <c r="M127" s="84">
        <f>L127+Dane_kredytowe!F$12</f>
        <v>3.0099999999999998E-2</v>
      </c>
      <c r="N127" s="79">
        <f>MAX(Dane_kredytowe!F$17+SUM(AA$5:AA126)-SUM(X$5:X127)+SUM(W$5:W127),0)</f>
        <v>87849.119155355758</v>
      </c>
      <c r="O127" s="85">
        <f>MAX(Dane_kredytowe!F$8+SUM(V$5:V126)-SUM(S$5:S127)+SUM(R$5:R126),0)</f>
        <v>277026.17691430345</v>
      </c>
      <c r="P127" s="67">
        <f t="shared" si="122"/>
        <v>360</v>
      </c>
      <c r="Q127" s="127" t="str">
        <f>IF(AND(K127&gt;0,K127&lt;=Dane_kredytowe!F$16),"tak","nie")</f>
        <v>nie</v>
      </c>
      <c r="R127" s="69"/>
      <c r="S127" s="86">
        <f>IF(Dane_kredytowe!F$19=B127,O126+V126,_xlfn.XLOOKUP(B127,Dane_kredytowe!M$9:M$18,Dane_kredytowe!N$9:N$18,0))</f>
        <v>0</v>
      </c>
      <c r="T127" s="71">
        <f t="shared" si="74"/>
        <v>-694.87399376004441</v>
      </c>
      <c r="U127" s="72">
        <f>IF(Q127="tak",T127,IF(P127-SUM(AB$5:AB127)+1&gt;0,IF(Dane_kredytowe!F$9&lt;B127,IF(SUM(AB$5:AB127)-Dane_kredytowe!F$16+1&gt;0,PMT(M127/12,P127+1-SUM(AB$5:AB127),O127),T127),0),0))</f>
        <v>-1275.8797954009733</v>
      </c>
      <c r="V127" s="72">
        <f t="shared" si="99"/>
        <v>-581.00580164092889</v>
      </c>
      <c r="W127" s="19" t="str">
        <f t="shared" si="100"/>
        <v xml:space="preserve"> </v>
      </c>
      <c r="X127" s="19">
        <f t="shared" si="113"/>
        <v>0</v>
      </c>
      <c r="Y127" s="73">
        <f t="shared" si="76"/>
        <v>-220.3548738813507</v>
      </c>
      <c r="Z127" s="19">
        <f>IF(P127-SUM(AB$5:AB127)+1&gt;0,IF(Dane_kredytowe!F$9&lt;B127,IF(SUM(AB$5:AB127)-Dane_kredytowe!F$16+1&gt;0,PMT(M127/12,P127+1-SUM(AB$5:AB127),N127),Y127),0),0)</f>
        <v>-404.60045120127364</v>
      </c>
      <c r="AA127" s="19">
        <f t="shared" si="125"/>
        <v>-184.24557731992294</v>
      </c>
      <c r="AB127" s="20">
        <f>IF(AND(Dane_kredytowe!F$9&lt;B127,SUM(AB$5:AB126)&lt;P126),1," ")</f>
        <v>1</v>
      </c>
      <c r="AD127" s="75">
        <f>IF(OR(B127&lt;Dane_kredytowe!F$15,Dane_kredytowe!F$15=""),-F127+S127,0)</f>
        <v>0</v>
      </c>
      <c r="AE127" s="75">
        <f t="shared" si="77"/>
        <v>404.60045120127364</v>
      </c>
      <c r="AG127" s="22">
        <f>Dane_kredytowe!F$17-SUM(AI$5:AI126)+SUM(W$42:W127)-SUM(X$42:X127)</f>
        <v>82978.5</v>
      </c>
      <c r="AH127" s="22">
        <f t="shared" si="78"/>
        <v>208.14</v>
      </c>
      <c r="AI127" s="22">
        <f t="shared" si="79"/>
        <v>264.26</v>
      </c>
      <c r="AJ127" s="22">
        <f t="shared" si="123"/>
        <v>472.4</v>
      </c>
      <c r="AK127" s="22">
        <f t="shared" si="80"/>
        <v>1668.94</v>
      </c>
      <c r="AL127" s="22">
        <f>Dane_kredytowe!F$8-SUM(AN$5:AN126)+SUM(R$42:R126)-SUM(S$42:S127)</f>
        <v>261666.81999999995</v>
      </c>
      <c r="AM127" s="22">
        <f t="shared" si="81"/>
        <v>656.35</v>
      </c>
      <c r="AN127" s="22">
        <f t="shared" si="82"/>
        <v>833.33</v>
      </c>
      <c r="AO127" s="22">
        <f t="shared" si="117"/>
        <v>1489.68</v>
      </c>
      <c r="AP127" s="22">
        <f t="shared" si="118"/>
        <v>179.26</v>
      </c>
      <c r="AR127" s="87">
        <f t="shared" si="83"/>
        <v>40969</v>
      </c>
      <c r="AS127" s="23">
        <f>AS$5+SUM(AV$5:AV126)-SUM(X$5:X127)+SUM(W$5:W127)</f>
        <v>128407.42417460993</v>
      </c>
      <c r="AT127" s="22">
        <f t="shared" si="84"/>
        <v>-322.08862230464655</v>
      </c>
      <c r="AU127" s="22">
        <f>IF(AB127=1,IF(Q127="tak",AT127,PMT(M127/12,P127+1-SUM(AB$5:AB127),AS127)),0)</f>
        <v>-591.39695717111954</v>
      </c>
      <c r="AV127" s="22">
        <f t="shared" si="119"/>
        <v>-269.30833486647299</v>
      </c>
      <c r="AW127" s="22">
        <f t="shared" si="85"/>
        <v>-2028.4915630969401</v>
      </c>
      <c r="AY127" s="23">
        <f>AY$5+SUM(BA$5:BA126)+SUM(W$5:W126)-SUM(X$5:X126)</f>
        <v>121287.85143784183</v>
      </c>
      <c r="AZ127" s="23">
        <f t="shared" si="86"/>
        <v>-322.08862230464655</v>
      </c>
      <c r="BA127" s="23">
        <f t="shared" si="87"/>
        <v>-386.27</v>
      </c>
      <c r="BB127" s="23">
        <f t="shared" si="124"/>
        <v>-708.35862230464659</v>
      </c>
      <c r="BC127" s="23">
        <f t="shared" si="88"/>
        <v>-2429.6700745049379</v>
      </c>
      <c r="BE127" s="88">
        <f t="shared" si="89"/>
        <v>4.9500000000000002E-2</v>
      </c>
      <c r="BF127" s="89">
        <f>BE127+Dane_kredytowe!F$12</f>
        <v>7.9500000000000001E-2</v>
      </c>
      <c r="BG127" s="23">
        <f>BG$5+SUM(BH$5:BH126)+SUM(R$5:R126)-SUM(S$5:S126)</f>
        <v>288463.73096617061</v>
      </c>
      <c r="BH127" s="22">
        <f t="shared" si="126"/>
        <v>-274.90600855795833</v>
      </c>
      <c r="BI127" s="22">
        <f t="shared" si="121"/>
        <v>-1911.0722176508805</v>
      </c>
      <c r="BJ127" s="22">
        <f>IF(U127&lt;0,PMT(BF127/12,Dane_kredytowe!F$13-SUM(AB$5:AB127)+1,BG127),0)</f>
        <v>-2185.9782262088388</v>
      </c>
      <c r="BL127" s="23">
        <f>BL$5+SUM(BN$5:BN126)+SUM(R$5:R126)-SUM(S$5:S126)</f>
        <v>261666.66666666669</v>
      </c>
      <c r="BM127" s="23">
        <f t="shared" si="129"/>
        <v>-1733.541666666667</v>
      </c>
      <c r="BN127" s="23">
        <f t="shared" si="91"/>
        <v>-833.33333333333337</v>
      </c>
      <c r="BO127" s="23">
        <f t="shared" si="130"/>
        <v>-2566.8750000000005</v>
      </c>
      <c r="BQ127" s="89">
        <f t="shared" si="93"/>
        <v>6.6200000000000009E-2</v>
      </c>
      <c r="BR127" s="23">
        <f>BR$5+SUM(BS$5:BS126)+SUM(R$5:R126)-SUM(S$5:S126)+SUM(BV$5:BV126)</f>
        <v>316301.72647990199</v>
      </c>
      <c r="BS127" s="22">
        <f t="shared" si="107"/>
        <v>-377.1668963829984</v>
      </c>
      <c r="BT127" s="22">
        <f t="shared" si="108"/>
        <v>-1744.9311910807928</v>
      </c>
      <c r="BU127" s="22">
        <f>IF(U127&lt;0,PMT(BQ127/12,Dane_kredytowe!F$13-SUM(AB$5:AB127)+1,BR127),0)</f>
        <v>-2122.0980874637912</v>
      </c>
      <c r="BV127" s="22">
        <f t="shared" si="101"/>
        <v>692.68515341481157</v>
      </c>
      <c r="BX127" s="23">
        <f>BX$5+SUM(BZ$5:BZ126)+SUM(R$5:R126)-SUM(S$5:S126)+SUM(CB$5,CB126)</f>
        <v>262384.33402700245</v>
      </c>
      <c r="BY127" s="22">
        <f t="shared" si="94"/>
        <v>-1447.486909382297</v>
      </c>
      <c r="BZ127" s="22">
        <f t="shared" si="95"/>
        <v>-835.61889817516703</v>
      </c>
      <c r="CA127" s="22">
        <f t="shared" si="109"/>
        <v>-2283.1058075574638</v>
      </c>
      <c r="CB127" s="22">
        <f t="shared" si="110"/>
        <v>853.69287350848413</v>
      </c>
      <c r="CD127" s="22">
        <f>CD$5+SUM(CE$5:CE126)+SUM(R$5:R126)-SUM(S$5:S126)-SUM(CF$5:CF126)</f>
        <v>309754.02462968859</v>
      </c>
      <c r="CE127" s="22">
        <f t="shared" si="102"/>
        <v>1447.486909382297</v>
      </c>
      <c r="CF127" s="22">
        <f t="shared" si="96"/>
        <v>1429.4129340489797</v>
      </c>
      <c r="CG127" s="22">
        <f t="shared" si="103"/>
        <v>-18.073975333317321</v>
      </c>
      <c r="CI127" s="89">
        <f t="shared" si="97"/>
        <v>0.48159999999999997</v>
      </c>
      <c r="CJ127" s="22">
        <f t="shared" si="98"/>
        <v>-688.41</v>
      </c>
      <c r="CK127" s="15">
        <f t="shared" si="104"/>
        <v>0</v>
      </c>
      <c r="CM127" s="22">
        <f t="shared" si="105"/>
        <v>-61063.183672872619</v>
      </c>
      <c r="CN127" s="15">
        <f t="shared" si="111"/>
        <v>-251.88563265059955</v>
      </c>
    </row>
    <row r="128" spans="1:92">
      <c r="A128" s="25"/>
      <c r="B128" s="80">
        <v>41000</v>
      </c>
      <c r="C128" s="81">
        <f t="shared" si="72"/>
        <v>3.4735999999999998</v>
      </c>
      <c r="D128" s="82">
        <f t="shared" si="106"/>
        <v>3.5778080000000001</v>
      </c>
      <c r="E128" s="73">
        <f t="shared" si="115"/>
        <v>-409.21467507052307</v>
      </c>
      <c r="F128" s="19">
        <f t="shared" si="127"/>
        <v>-1464.091538184718</v>
      </c>
      <c r="G128" s="19">
        <f t="shared" si="116"/>
        <v>-1290.4304341576849</v>
      </c>
      <c r="H128" s="19">
        <f t="shared" si="128"/>
        <v>173.66110402703316</v>
      </c>
      <c r="I128" s="62"/>
      <c r="J128" s="15" t="str">
        <f t="shared" si="114"/>
        <v xml:space="preserve"> </v>
      </c>
      <c r="K128" s="15">
        <f>IF(B128&lt;=Dane_kredytowe!F$9,0,K127+1)</f>
        <v>48</v>
      </c>
      <c r="L128" s="83">
        <f t="shared" si="73"/>
        <v>1.1000000000000001E-3</v>
      </c>
      <c r="M128" s="84">
        <f>L128+Dane_kredytowe!F$12</f>
        <v>3.1099999999999999E-2</v>
      </c>
      <c r="N128" s="79">
        <f>MAX(Dane_kredytowe!F$17+SUM(AA$5:AA127)-SUM(X$5:X128)+SUM(W$5:W128),0)</f>
        <v>87664.87357803584</v>
      </c>
      <c r="O128" s="85">
        <f>MAX(Dane_kredytowe!F$8+SUM(V$5:V127)-SUM(S$5:S128)+SUM(R$5:R127),0)</f>
        <v>276445.17111266253</v>
      </c>
      <c r="P128" s="67">
        <f t="shared" si="122"/>
        <v>360</v>
      </c>
      <c r="Q128" s="127" t="str">
        <f>IF(AND(K128&gt;0,K128&lt;=Dane_kredytowe!F$16),"tak","nie")</f>
        <v>nie</v>
      </c>
      <c r="R128" s="69"/>
      <c r="S128" s="86">
        <f>IF(Dane_kredytowe!F$19=B128,O127+V127,_xlfn.XLOOKUP(B128,Dane_kredytowe!M$9:M$18,Dane_kredytowe!N$9:N$18,0))</f>
        <v>0</v>
      </c>
      <c r="T128" s="71">
        <f t="shared" si="74"/>
        <v>-716.4537351336503</v>
      </c>
      <c r="U128" s="72">
        <f>IF(Q128="tak",T128,IF(P128-SUM(AB$5:AB128)+1&gt;0,IF(Dane_kredytowe!F$9&lt;B128,IF(SUM(AB$5:AB128)-Dane_kredytowe!F$16+1&gt;0,PMT(M128/12,P128+1-SUM(AB$5:AB128),O128),T128),0),0))</f>
        <v>-1290.4304341576849</v>
      </c>
      <c r="V128" s="72">
        <f t="shared" si="99"/>
        <v>-573.97669902403459</v>
      </c>
      <c r="W128" s="19" t="str">
        <f t="shared" si="100"/>
        <v xml:space="preserve"> </v>
      </c>
      <c r="X128" s="19">
        <f t="shared" si="113"/>
        <v>0</v>
      </c>
      <c r="Y128" s="73">
        <f t="shared" si="76"/>
        <v>-227.1981306897429</v>
      </c>
      <c r="Z128" s="19">
        <f>IF(P128-SUM(AB$5:AB128)+1&gt;0,IF(Dane_kredytowe!F$9&lt;B128,IF(SUM(AB$5:AB128)-Dane_kredytowe!F$16+1&gt;0,PMT(M128/12,P128+1-SUM(AB$5:AB128),N128),Y128),0),0)</f>
        <v>-409.21467507052307</v>
      </c>
      <c r="AA128" s="19">
        <f t="shared" si="125"/>
        <v>-182.01654438078018</v>
      </c>
      <c r="AB128" s="20">
        <f>IF(AND(Dane_kredytowe!F$9&lt;B128,SUM(AB$5:AB127)&lt;P127),1," ")</f>
        <v>1</v>
      </c>
      <c r="AD128" s="75">
        <f>IF(OR(B128&lt;Dane_kredytowe!F$15,Dane_kredytowe!F$15=""),-F128+S128,0)</f>
        <v>0</v>
      </c>
      <c r="AE128" s="75">
        <f t="shared" si="77"/>
        <v>409.21467507052307</v>
      </c>
      <c r="AG128" s="22">
        <f>Dane_kredytowe!F$17-SUM(AI$5:AI127)+SUM(W$42:W128)-SUM(X$42:X128)</f>
        <v>82714.239999999991</v>
      </c>
      <c r="AH128" s="22">
        <f t="shared" si="78"/>
        <v>214.37</v>
      </c>
      <c r="AI128" s="22">
        <f t="shared" si="79"/>
        <v>264.26</v>
      </c>
      <c r="AJ128" s="22">
        <f t="shared" si="123"/>
        <v>478.63</v>
      </c>
      <c r="AK128" s="22">
        <f t="shared" si="80"/>
        <v>1712.45</v>
      </c>
      <c r="AL128" s="22">
        <f>Dane_kredytowe!F$8-SUM(AN$5:AN127)+SUM(R$42:R127)-SUM(S$42:S128)</f>
        <v>260833.48999999996</v>
      </c>
      <c r="AM128" s="22">
        <f t="shared" si="81"/>
        <v>675.99</v>
      </c>
      <c r="AN128" s="22">
        <f t="shared" si="82"/>
        <v>833.33</v>
      </c>
      <c r="AO128" s="22">
        <f t="shared" si="117"/>
        <v>1509.3200000000002</v>
      </c>
      <c r="AP128" s="22">
        <f t="shared" si="118"/>
        <v>203.12999999999988</v>
      </c>
      <c r="AR128" s="87">
        <f t="shared" si="83"/>
        <v>41000</v>
      </c>
      <c r="AS128" s="23">
        <f>AS$5+SUM(AV$5:AV127)-SUM(X$5:X128)+SUM(W$5:W128)</f>
        <v>128138.11583974346</v>
      </c>
      <c r="AT128" s="22">
        <f t="shared" si="84"/>
        <v>-332.09128355133515</v>
      </c>
      <c r="AU128" s="22">
        <f>IF(AB128=1,IF(Q128="tak",AT128,PMT(M128/12,P128+1-SUM(AB$5:AB128),AS128)),0)</f>
        <v>-598.14148241294379</v>
      </c>
      <c r="AV128" s="22">
        <f t="shared" si="119"/>
        <v>-266.05019886160864</v>
      </c>
      <c r="AW128" s="22">
        <f t="shared" si="85"/>
        <v>-2077.7042533096014</v>
      </c>
      <c r="AY128" s="23">
        <f>AY$5+SUM(BA$5:BA127)+SUM(W$5:W127)-SUM(X$5:X127)</f>
        <v>120901.58143784183</v>
      </c>
      <c r="AZ128" s="23">
        <f t="shared" si="86"/>
        <v>-332.09128355133515</v>
      </c>
      <c r="BA128" s="23">
        <f t="shared" si="87"/>
        <v>-386.27</v>
      </c>
      <c r="BB128" s="23">
        <f t="shared" si="124"/>
        <v>-718.36128355133519</v>
      </c>
      <c r="BC128" s="23">
        <f t="shared" si="88"/>
        <v>-2495.299754543918</v>
      </c>
      <c r="BE128" s="88">
        <f t="shared" si="89"/>
        <v>4.9399999999999999E-2</v>
      </c>
      <c r="BF128" s="89">
        <f>BE128+Dane_kredytowe!F$12</f>
        <v>7.9399999999999998E-2</v>
      </c>
      <c r="BG128" s="23">
        <f>BG$5+SUM(BH$5:BH127)+SUM(R$5:R127)-SUM(S$5:S127)</f>
        <v>288188.82495761267</v>
      </c>
      <c r="BH128" s="22">
        <f t="shared" si="126"/>
        <v>-277.20049445664858</v>
      </c>
      <c r="BI128" s="22">
        <f t="shared" si="121"/>
        <v>-1906.8493918028705</v>
      </c>
      <c r="BJ128" s="22">
        <f>IF(U128&lt;0,PMT(BF128/12,Dane_kredytowe!F$13-SUM(AB$5:AB128)+1,BG128),0)</f>
        <v>-2184.0498862595191</v>
      </c>
      <c r="BL128" s="23">
        <f>BL$5+SUM(BN$5:BN127)+SUM(R$5:R127)-SUM(S$5:S127)</f>
        <v>260833.33333333334</v>
      </c>
      <c r="BM128" s="23">
        <f t="shared" si="129"/>
        <v>-1725.8472222222224</v>
      </c>
      <c r="BN128" s="23">
        <f t="shared" si="91"/>
        <v>-833.33333333333337</v>
      </c>
      <c r="BO128" s="23">
        <f t="shared" si="130"/>
        <v>-2559.1805555555557</v>
      </c>
      <c r="BQ128" s="89">
        <f t="shared" si="93"/>
        <v>6.6099999999999992E-2</v>
      </c>
      <c r="BR128" s="23">
        <f>BR$5+SUM(BS$5:BS127)+SUM(R$5:R127)-SUM(S$5:S127)+SUM(BV$5:BV127)</f>
        <v>316617.24473693379</v>
      </c>
      <c r="BS128" s="22">
        <f t="shared" si="107"/>
        <v>-380.70588926664527</v>
      </c>
      <c r="BT128" s="22">
        <f t="shared" si="108"/>
        <v>-1744.0333230926101</v>
      </c>
      <c r="BU128" s="22">
        <f>IF(U128&lt;0,PMT(BQ128/12,Dane_kredytowe!F$13-SUM(AB$5:AB128)+1,BR128),0)</f>
        <v>-2124.7392123592554</v>
      </c>
      <c r="BV128" s="22">
        <f t="shared" si="101"/>
        <v>660.64767417453731</v>
      </c>
      <c r="BX128" s="23">
        <f>BX$5+SUM(BZ$5:BZ127)+SUM(R$5:R127)-SUM(S$5:S127)+SUM(CB$5,CB127)</f>
        <v>261555.17989699304</v>
      </c>
      <c r="BY128" s="22">
        <f t="shared" si="94"/>
        <v>-1440.7331159326031</v>
      </c>
      <c r="BZ128" s="22">
        <f t="shared" si="95"/>
        <v>-835.63955238655922</v>
      </c>
      <c r="CA128" s="22">
        <f t="shared" si="109"/>
        <v>-2276.3726683191626</v>
      </c>
      <c r="CB128" s="22">
        <f t="shared" si="110"/>
        <v>812.28113013444454</v>
      </c>
      <c r="CD128" s="22">
        <f>CD$5+SUM(CE$5:CE127)+SUM(R$5:R127)-SUM(S$5:S127)-SUM(CF$5:CF127)</f>
        <v>309772.09860502189</v>
      </c>
      <c r="CE128" s="22">
        <f t="shared" si="102"/>
        <v>1440.7331159326031</v>
      </c>
      <c r="CF128" s="22">
        <f t="shared" si="96"/>
        <v>1464.091538184718</v>
      </c>
      <c r="CG128" s="22">
        <f t="shared" si="103"/>
        <v>23.358422252114906</v>
      </c>
      <c r="CI128" s="89">
        <f t="shared" si="97"/>
        <v>0.4728</v>
      </c>
      <c r="CJ128" s="22">
        <f t="shared" si="98"/>
        <v>-692.22</v>
      </c>
      <c r="CK128" s="15">
        <f t="shared" si="104"/>
        <v>0</v>
      </c>
      <c r="CM128" s="22">
        <f t="shared" si="105"/>
        <v>-62527.275211057335</v>
      </c>
      <c r="CN128" s="15">
        <f t="shared" si="111"/>
        <v>-257.40394961885266</v>
      </c>
    </row>
    <row r="129" spans="1:92">
      <c r="A129" s="25"/>
      <c r="B129" s="80">
        <v>41030</v>
      </c>
      <c r="C129" s="81">
        <f t="shared" si="72"/>
        <v>3.57</v>
      </c>
      <c r="D129" s="82">
        <f t="shared" si="106"/>
        <v>3.6770999999999998</v>
      </c>
      <c r="E129" s="73">
        <f t="shared" si="115"/>
        <v>-409.21467507052301</v>
      </c>
      <c r="F129" s="19">
        <f t="shared" si="127"/>
        <v>-1504.72328170182</v>
      </c>
      <c r="G129" s="19">
        <f t="shared" si="116"/>
        <v>-1290.4304341576849</v>
      </c>
      <c r="H129" s="19">
        <f t="shared" si="128"/>
        <v>214.29284754413516</v>
      </c>
      <c r="I129" s="62"/>
      <c r="J129" s="15" t="str">
        <f t="shared" si="114"/>
        <v xml:space="preserve"> </v>
      </c>
      <c r="K129" s="15">
        <f>IF(B129&lt;=Dane_kredytowe!F$9,0,K128+1)</f>
        <v>49</v>
      </c>
      <c r="L129" s="83">
        <f t="shared" si="73"/>
        <v>1.1000000000000001E-3</v>
      </c>
      <c r="M129" s="84">
        <f>L129+Dane_kredytowe!F$12</f>
        <v>3.1099999999999999E-2</v>
      </c>
      <c r="N129" s="79">
        <f>MAX(Dane_kredytowe!F$17+SUM(AA$5:AA128)-SUM(X$5:X129)+SUM(W$5:W129),0)</f>
        <v>87482.857033655047</v>
      </c>
      <c r="O129" s="85">
        <f>MAX(Dane_kredytowe!F$8+SUM(V$5:V128)-SUM(S$5:S129)+SUM(R$5:R128),0)</f>
        <v>275871.1944136385</v>
      </c>
      <c r="P129" s="67">
        <f t="shared" si="122"/>
        <v>360</v>
      </c>
      <c r="Q129" s="127" t="str">
        <f>IF(AND(K129&gt;0,K129&lt;=Dane_kredytowe!F$16),"tak","nie")</f>
        <v>nie</v>
      </c>
      <c r="R129" s="69"/>
      <c r="S129" s="86">
        <f>IF(Dane_kredytowe!F$19=B129,O128+V128,_xlfn.XLOOKUP(B129,Dane_kredytowe!M$9:M$18,Dane_kredytowe!N$9:N$18,0))</f>
        <v>0</v>
      </c>
      <c r="T129" s="71">
        <f t="shared" si="74"/>
        <v>-714.96617885534636</v>
      </c>
      <c r="U129" s="72">
        <f>IF(Q129="tak",T129,IF(P129-SUM(AB$5:AB129)+1&gt;0,IF(Dane_kredytowe!F$9&lt;B129,IF(SUM(AB$5:AB129)-Dane_kredytowe!F$16+1&gt;0,PMT(M129/12,P129+1-SUM(AB$5:AB129),O129),T129),0),0))</f>
        <v>-1290.4304341576849</v>
      </c>
      <c r="V129" s="72">
        <f t="shared" si="99"/>
        <v>-575.46425530233853</v>
      </c>
      <c r="W129" s="19" t="str">
        <f t="shared" si="100"/>
        <v xml:space="preserve"> </v>
      </c>
      <c r="X129" s="19">
        <f t="shared" si="113"/>
        <v>0</v>
      </c>
      <c r="Y129" s="73">
        <f t="shared" si="76"/>
        <v>-226.72640447888932</v>
      </c>
      <c r="Z129" s="19">
        <f>IF(P129-SUM(AB$5:AB129)+1&gt;0,IF(Dane_kredytowe!F$9&lt;B129,IF(SUM(AB$5:AB129)-Dane_kredytowe!F$16+1&gt;0,PMT(M129/12,P129+1-SUM(AB$5:AB129),N129),Y129),0),0)</f>
        <v>-409.21467507052301</v>
      </c>
      <c r="AA129" s="19">
        <f t="shared" si="125"/>
        <v>-182.48827059163369</v>
      </c>
      <c r="AB129" s="20">
        <f>IF(AND(Dane_kredytowe!F$9&lt;B129,SUM(AB$5:AB128)&lt;P128),1," ")</f>
        <v>1</v>
      </c>
      <c r="AD129" s="75">
        <f>IF(OR(B129&lt;Dane_kredytowe!F$15,Dane_kredytowe!F$15=""),-F129+S129,0)</f>
        <v>0</v>
      </c>
      <c r="AE129" s="75">
        <f t="shared" si="77"/>
        <v>409.21467507052301</v>
      </c>
      <c r="AG129" s="22">
        <f>Dane_kredytowe!F$17-SUM(AI$5:AI128)+SUM(W$42:W129)-SUM(X$42:X129)</f>
        <v>82449.98</v>
      </c>
      <c r="AH129" s="22">
        <f t="shared" si="78"/>
        <v>213.68</v>
      </c>
      <c r="AI129" s="22">
        <f t="shared" si="79"/>
        <v>264.26</v>
      </c>
      <c r="AJ129" s="22">
        <f t="shared" si="123"/>
        <v>477.94</v>
      </c>
      <c r="AK129" s="22">
        <f t="shared" si="80"/>
        <v>1757.43</v>
      </c>
      <c r="AL129" s="22">
        <f>Dane_kredytowe!F$8-SUM(AN$5:AN128)+SUM(R$42:R128)-SUM(S$42:S129)</f>
        <v>260000.15999999995</v>
      </c>
      <c r="AM129" s="22">
        <f t="shared" si="81"/>
        <v>673.83</v>
      </c>
      <c r="AN129" s="22">
        <f t="shared" si="82"/>
        <v>833.33</v>
      </c>
      <c r="AO129" s="22">
        <f t="shared" si="117"/>
        <v>1507.16</v>
      </c>
      <c r="AP129" s="22">
        <f t="shared" si="118"/>
        <v>250.26999999999998</v>
      </c>
      <c r="AR129" s="87">
        <f t="shared" si="83"/>
        <v>41030</v>
      </c>
      <c r="AS129" s="23">
        <f>AS$5+SUM(AV$5:AV128)-SUM(X$5:X129)+SUM(W$5:W129)</f>
        <v>127872.06564088185</v>
      </c>
      <c r="AT129" s="22">
        <f t="shared" si="84"/>
        <v>-331.40177011928546</v>
      </c>
      <c r="AU129" s="22">
        <f>IF(AB129=1,IF(Q129="tak",AT129,PMT(M129/12,P129+1-SUM(AB$5:AB129),AS129)),0)</f>
        <v>-598.14148241294379</v>
      </c>
      <c r="AV129" s="22">
        <f t="shared" si="119"/>
        <v>-266.73971229365833</v>
      </c>
      <c r="AW129" s="22">
        <f t="shared" si="85"/>
        <v>-2135.3650922142092</v>
      </c>
      <c r="AY129" s="23">
        <f>AY$5+SUM(BA$5:BA128)+SUM(W$5:W128)-SUM(X$5:X128)</f>
        <v>120515.31143784182</v>
      </c>
      <c r="AZ129" s="23">
        <f t="shared" si="86"/>
        <v>-331.40177011928546</v>
      </c>
      <c r="BA129" s="23">
        <f t="shared" si="87"/>
        <v>-386.27</v>
      </c>
      <c r="BB129" s="23">
        <f t="shared" si="124"/>
        <v>-717.67177011928538</v>
      </c>
      <c r="BC129" s="23">
        <f t="shared" si="88"/>
        <v>-2562.0882193258485</v>
      </c>
      <c r="BE129" s="88">
        <f t="shared" si="89"/>
        <v>5.0500000000000003E-2</v>
      </c>
      <c r="BF129" s="89">
        <f>BE129+Dane_kredytowe!F$12</f>
        <v>8.0500000000000002E-2</v>
      </c>
      <c r="BG129" s="23">
        <f>BG$5+SUM(BH$5:BH128)+SUM(R$5:R128)-SUM(S$5:S128)</f>
        <v>287911.62446315598</v>
      </c>
      <c r="BH129" s="22">
        <f t="shared" si="126"/>
        <v>-273.85247697337536</v>
      </c>
      <c r="BI129" s="22">
        <f t="shared" si="121"/>
        <v>-1931.4071474403381</v>
      </c>
      <c r="BJ129" s="22">
        <f>IF(U129&lt;0,PMT(BF129/12,Dane_kredytowe!F$13-SUM(AB$5:AB129)+1,BG129),0)</f>
        <v>-2205.2596244137135</v>
      </c>
      <c r="BL129" s="23">
        <f>BL$5+SUM(BN$5:BN128)+SUM(R$5:R128)-SUM(S$5:S128)</f>
        <v>260000</v>
      </c>
      <c r="BM129" s="23">
        <f t="shared" si="129"/>
        <v>-1744.1666666666667</v>
      </c>
      <c r="BN129" s="23">
        <f t="shared" si="91"/>
        <v>-833.33333333333337</v>
      </c>
      <c r="BO129" s="23">
        <f t="shared" si="130"/>
        <v>-2577.5</v>
      </c>
      <c r="BQ129" s="89">
        <f t="shared" si="93"/>
        <v>6.720000000000001E-2</v>
      </c>
      <c r="BR129" s="23">
        <f>BR$5+SUM(BS$5:BS128)+SUM(R$5:R128)-SUM(S$5:S128)+SUM(BV$5:BV128)</f>
        <v>316897.18652184174</v>
      </c>
      <c r="BS129" s="22">
        <f t="shared" si="107"/>
        <v>-376.72909837846578</v>
      </c>
      <c r="BT129" s="22">
        <f t="shared" si="108"/>
        <v>-1774.624244522314</v>
      </c>
      <c r="BU129" s="22">
        <f>IF(U129&lt;0,PMT(BQ129/12,Dane_kredytowe!F$13-SUM(AB$5:AB129)+1,BR129),0)</f>
        <v>-2151.3533429007798</v>
      </c>
      <c r="BV129" s="22">
        <f t="shared" si="101"/>
        <v>646.63006119895977</v>
      </c>
      <c r="BX129" s="23">
        <f>BX$5+SUM(BZ$5:BZ128)+SUM(R$5:R128)-SUM(S$5:S128)+SUM(CB$5,CB128)</f>
        <v>260678.12860123246</v>
      </c>
      <c r="BY129" s="22">
        <f t="shared" si="94"/>
        <v>-1459.7975201669021</v>
      </c>
      <c r="BZ129" s="22">
        <f t="shared" si="95"/>
        <v>-835.50682243984761</v>
      </c>
      <c r="CA129" s="22">
        <f t="shared" si="109"/>
        <v>-2295.3043426067497</v>
      </c>
      <c r="CB129" s="22">
        <f t="shared" si="110"/>
        <v>790.5810609049297</v>
      </c>
      <c r="CD129" s="22">
        <f>CD$5+SUM(CE$5:CE128)+SUM(R$5:R128)-SUM(S$5:S128)-SUM(CF$5:CF128)</f>
        <v>309748.74018276978</v>
      </c>
      <c r="CE129" s="22">
        <f t="shared" si="102"/>
        <v>1459.7975201669021</v>
      </c>
      <c r="CF129" s="22">
        <f t="shared" si="96"/>
        <v>1504.72328170182</v>
      </c>
      <c r="CG129" s="22">
        <f t="shared" si="103"/>
        <v>44.92576153491791</v>
      </c>
      <c r="CI129" s="89">
        <f t="shared" si="97"/>
        <v>0.4698</v>
      </c>
      <c r="CJ129" s="22">
        <f t="shared" si="98"/>
        <v>-706.92</v>
      </c>
      <c r="CK129" s="15">
        <f t="shared" si="104"/>
        <v>0</v>
      </c>
      <c r="CM129" s="22">
        <f t="shared" si="105"/>
        <v>-64031.998492759158</v>
      </c>
      <c r="CN129" s="15">
        <f t="shared" si="111"/>
        <v>-269.4679936570281</v>
      </c>
    </row>
    <row r="130" spans="1:92">
      <c r="A130" s="25"/>
      <c r="B130" s="80">
        <v>41061</v>
      </c>
      <c r="C130" s="81">
        <f t="shared" si="72"/>
        <v>3.5865</v>
      </c>
      <c r="D130" s="82">
        <f t="shared" si="106"/>
        <v>3.6940949999999999</v>
      </c>
      <c r="E130" s="73">
        <f t="shared" si="115"/>
        <v>-409.21467507052301</v>
      </c>
      <c r="F130" s="19">
        <f t="shared" si="127"/>
        <v>-1511.6778851046436</v>
      </c>
      <c r="G130" s="19">
        <f t="shared" si="116"/>
        <v>-1290.4304341576849</v>
      </c>
      <c r="H130" s="19">
        <f t="shared" si="128"/>
        <v>221.24745094695868</v>
      </c>
      <c r="I130" s="62"/>
      <c r="J130" s="15" t="str">
        <f t="shared" si="114"/>
        <v xml:space="preserve"> </v>
      </c>
      <c r="K130" s="15">
        <f>IF(B130&lt;=Dane_kredytowe!F$9,0,K129+1)</f>
        <v>50</v>
      </c>
      <c r="L130" s="83">
        <f t="shared" si="73"/>
        <v>1.1000000000000001E-3</v>
      </c>
      <c r="M130" s="84">
        <f>L130+Dane_kredytowe!F$12</f>
        <v>3.1099999999999999E-2</v>
      </c>
      <c r="N130" s="79">
        <f>MAX(Dane_kredytowe!F$17+SUM(AA$5:AA129)-SUM(X$5:X130)+SUM(W$5:W130),0)</f>
        <v>87300.368763063423</v>
      </c>
      <c r="O130" s="85">
        <f>MAX(Dane_kredytowe!F$8+SUM(V$5:V129)-SUM(S$5:S130)+SUM(R$5:R129),0)</f>
        <v>275295.73015833617</v>
      </c>
      <c r="P130" s="67">
        <f t="shared" si="122"/>
        <v>360</v>
      </c>
      <c r="Q130" s="127" t="str">
        <f>IF(AND(K130&gt;0,K130&lt;=Dane_kredytowe!F$16),"tak","nie")</f>
        <v>nie</v>
      </c>
      <c r="R130" s="69"/>
      <c r="S130" s="86">
        <f>IF(Dane_kredytowe!F$19=B130,O129+V129,_xlfn.XLOOKUP(B130,Dane_kredytowe!M$9:M$18,Dane_kredytowe!N$9:N$18,0))</f>
        <v>0</v>
      </c>
      <c r="T130" s="71">
        <f t="shared" si="74"/>
        <v>-713.47476732702125</v>
      </c>
      <c r="U130" s="72">
        <f>IF(Q130="tak",T130,IF(P130-SUM(AB$5:AB130)+1&gt;0,IF(Dane_kredytowe!F$9&lt;B130,IF(SUM(AB$5:AB130)-Dane_kredytowe!F$16+1&gt;0,PMT(M130/12,P130+1-SUM(AB$5:AB130),O130),T130),0),0))</f>
        <v>-1290.4304341576849</v>
      </c>
      <c r="V130" s="72">
        <f t="shared" si="99"/>
        <v>-576.95566683066363</v>
      </c>
      <c r="W130" s="19" t="str">
        <f t="shared" si="100"/>
        <v xml:space="preserve"> </v>
      </c>
      <c r="X130" s="19">
        <f t="shared" si="113"/>
        <v>0</v>
      </c>
      <c r="Y130" s="73">
        <f t="shared" si="76"/>
        <v>-226.25345571093939</v>
      </c>
      <c r="Z130" s="19">
        <f>IF(P130-SUM(AB$5:AB130)+1&gt;0,IF(Dane_kredytowe!F$9&lt;B130,IF(SUM(AB$5:AB130)-Dane_kredytowe!F$16+1&gt;0,PMT(M130/12,P130+1-SUM(AB$5:AB130),N130),Y130),0),0)</f>
        <v>-409.21467507052301</v>
      </c>
      <c r="AA130" s="19">
        <f t="shared" si="125"/>
        <v>-182.96121935958362</v>
      </c>
      <c r="AB130" s="20">
        <f>IF(AND(Dane_kredytowe!F$9&lt;B130,SUM(AB$5:AB129)&lt;P129),1," ")</f>
        <v>1</v>
      </c>
      <c r="AD130" s="75">
        <f>IF(OR(B130&lt;Dane_kredytowe!F$15,Dane_kredytowe!F$15=""),-F130+S130,0)</f>
        <v>0</v>
      </c>
      <c r="AE130" s="75">
        <f t="shared" si="77"/>
        <v>409.21467507052301</v>
      </c>
      <c r="AG130" s="22">
        <f>Dane_kredytowe!F$17-SUM(AI$5:AI129)+SUM(W$42:W130)-SUM(X$42:X130)</f>
        <v>82185.72</v>
      </c>
      <c r="AH130" s="22">
        <f t="shared" si="78"/>
        <v>213</v>
      </c>
      <c r="AI130" s="22">
        <f t="shared" si="79"/>
        <v>264.26</v>
      </c>
      <c r="AJ130" s="22">
        <f t="shared" si="123"/>
        <v>477.26</v>
      </c>
      <c r="AK130" s="22">
        <f t="shared" si="80"/>
        <v>1763.04</v>
      </c>
      <c r="AL130" s="22">
        <f>Dane_kredytowe!F$8-SUM(AN$5:AN129)+SUM(R$42:R129)-SUM(S$42:S130)</f>
        <v>259166.82999999996</v>
      </c>
      <c r="AM130" s="22">
        <f t="shared" si="81"/>
        <v>671.67</v>
      </c>
      <c r="AN130" s="22">
        <f t="shared" si="82"/>
        <v>833.33</v>
      </c>
      <c r="AO130" s="22">
        <f t="shared" si="117"/>
        <v>1505</v>
      </c>
      <c r="AP130" s="22">
        <f t="shared" si="118"/>
        <v>258.03999999999996</v>
      </c>
      <c r="AR130" s="87">
        <f t="shared" si="83"/>
        <v>41061</v>
      </c>
      <c r="AS130" s="23">
        <f>AS$5+SUM(AV$5:AV129)-SUM(X$5:X130)+SUM(W$5:W130)</f>
        <v>127605.32592858819</v>
      </c>
      <c r="AT130" s="22">
        <f t="shared" si="84"/>
        <v>-330.71046969825773</v>
      </c>
      <c r="AU130" s="22">
        <f>IF(AB130=1,IF(Q130="tak",AT130,PMT(M130/12,P130+1-SUM(AB$5:AB130),AS130)),0)</f>
        <v>-598.14148241294379</v>
      </c>
      <c r="AV130" s="22">
        <f t="shared" si="119"/>
        <v>-267.43101271468606</v>
      </c>
      <c r="AW130" s="22">
        <f t="shared" si="85"/>
        <v>-2145.2344266740229</v>
      </c>
      <c r="AY130" s="23">
        <f>AY$5+SUM(BA$5:BA129)+SUM(W$5:W129)-SUM(X$5:X129)</f>
        <v>120129.04143784184</v>
      </c>
      <c r="AZ130" s="23">
        <f t="shared" si="86"/>
        <v>-330.71046969825773</v>
      </c>
      <c r="BA130" s="23">
        <f t="shared" si="87"/>
        <v>-386.27</v>
      </c>
      <c r="BB130" s="23">
        <f t="shared" si="124"/>
        <v>-716.98046969825771</v>
      </c>
      <c r="BC130" s="23">
        <f t="shared" si="88"/>
        <v>-2571.4504545728014</v>
      </c>
      <c r="BE130" s="88">
        <f t="shared" si="89"/>
        <v>5.1200000000000002E-2</v>
      </c>
      <c r="BF130" s="89">
        <f>BE130+Dane_kredytowe!F$12</f>
        <v>8.1199999999999994E-2</v>
      </c>
      <c r="BG130" s="23">
        <f>BG$5+SUM(BH$5:BH129)+SUM(R$5:R129)-SUM(S$5:S129)</f>
        <v>287637.7719861826</v>
      </c>
      <c r="BH130" s="22">
        <f t="shared" si="126"/>
        <v>-272.42543415018076</v>
      </c>
      <c r="BI130" s="22">
        <f t="shared" si="121"/>
        <v>-1946.348923773169</v>
      </c>
      <c r="BJ130" s="22">
        <f>IF(U130&lt;0,PMT(BF130/12,Dane_kredytowe!F$13-SUM(AB$5:AB130)+1,BG130),0)</f>
        <v>-2218.7743579233497</v>
      </c>
      <c r="BL130" s="23">
        <f>BL$5+SUM(BN$5:BN129)+SUM(R$5:R129)-SUM(S$5:S129)</f>
        <v>259166.66666666666</v>
      </c>
      <c r="BM130" s="23">
        <f t="shared" si="129"/>
        <v>-1753.6944444444443</v>
      </c>
      <c r="BN130" s="23">
        <f t="shared" si="91"/>
        <v>-833.33333333333326</v>
      </c>
      <c r="BO130" s="23">
        <f t="shared" si="130"/>
        <v>-2587.0277777777774</v>
      </c>
      <c r="BQ130" s="89">
        <f t="shared" si="93"/>
        <v>6.7900000000000002E-2</v>
      </c>
      <c r="BR130" s="23">
        <f>BR$5+SUM(BS$5:BS129)+SUM(R$5:R129)-SUM(S$5:S129)+SUM(BV$5:BV129)</f>
        <v>317167.08748466219</v>
      </c>
      <c r="BS130" s="22">
        <f t="shared" si="107"/>
        <v>-375.27549211030623</v>
      </c>
      <c r="BT130" s="22">
        <f t="shared" si="108"/>
        <v>-1794.6371033507137</v>
      </c>
      <c r="BU130" s="22">
        <f>IF(U130&lt;0,PMT(BQ130/12,Dane_kredytowe!F$13-SUM(AB$5:AB130)+1,BR130),0)</f>
        <v>-2169.9125954610199</v>
      </c>
      <c r="BV130" s="22">
        <f t="shared" si="101"/>
        <v>658.23471035637635</v>
      </c>
      <c r="BX130" s="23">
        <f>BX$5+SUM(BZ$5:BZ129)+SUM(R$5:R129)-SUM(S$5:S129)+SUM(CB$5,CB129)</f>
        <v>259820.92170956306</v>
      </c>
      <c r="BY130" s="22">
        <f t="shared" si="94"/>
        <v>-1470.1533820066109</v>
      </c>
      <c r="BZ130" s="22">
        <f t="shared" si="95"/>
        <v>-835.43704729763044</v>
      </c>
      <c r="CA130" s="22">
        <f t="shared" si="109"/>
        <v>-2305.5904293042413</v>
      </c>
      <c r="CB130" s="22">
        <f t="shared" si="110"/>
        <v>793.91254419959773</v>
      </c>
      <c r="CD130" s="22">
        <f>CD$5+SUM(CE$5:CE129)+SUM(R$5:R129)-SUM(S$5:S129)-SUM(CF$5:CF129)</f>
        <v>309703.81442123489</v>
      </c>
      <c r="CE130" s="22">
        <f t="shared" si="102"/>
        <v>1470.1533820066109</v>
      </c>
      <c r="CF130" s="22">
        <f t="shared" si="96"/>
        <v>1511.6778851046436</v>
      </c>
      <c r="CG130" s="22">
        <f t="shared" si="103"/>
        <v>41.52450309803271</v>
      </c>
      <c r="CI130" s="89">
        <f t="shared" si="97"/>
        <v>0.46689999999999998</v>
      </c>
      <c r="CJ130" s="22">
        <f t="shared" si="98"/>
        <v>-705.8</v>
      </c>
      <c r="CK130" s="15">
        <f t="shared" si="104"/>
        <v>0</v>
      </c>
      <c r="CM130" s="22">
        <f t="shared" si="105"/>
        <v>-65543.676377863798</v>
      </c>
      <c r="CN130" s="15">
        <f t="shared" si="111"/>
        <v>-279.65301921221891</v>
      </c>
    </row>
    <row r="131" spans="1:92">
      <c r="A131" s="25"/>
      <c r="B131" s="80">
        <v>41091</v>
      </c>
      <c r="C131" s="81">
        <f t="shared" si="72"/>
        <v>3.4883999999999999</v>
      </c>
      <c r="D131" s="82">
        <f t="shared" si="106"/>
        <v>3.5930520000000001</v>
      </c>
      <c r="E131" s="73">
        <f t="shared" si="115"/>
        <v>-409.21467507052301</v>
      </c>
      <c r="F131" s="19">
        <f t="shared" si="127"/>
        <v>-1470.3296066914929</v>
      </c>
      <c r="G131" s="19">
        <f t="shared" si="116"/>
        <v>-1290.4304341576847</v>
      </c>
      <c r="H131" s="19">
        <f t="shared" si="128"/>
        <v>179.89917253380827</v>
      </c>
      <c r="I131" s="62"/>
      <c r="J131" s="15" t="str">
        <f t="shared" si="114"/>
        <v xml:space="preserve"> </v>
      </c>
      <c r="K131" s="15">
        <f>IF(B131&lt;=Dane_kredytowe!F$9,0,K130+1)</f>
        <v>51</v>
      </c>
      <c r="L131" s="83">
        <f t="shared" si="73"/>
        <v>1.1000000000000001E-3</v>
      </c>
      <c r="M131" s="84">
        <f>L131+Dane_kredytowe!F$12</f>
        <v>3.1099999999999999E-2</v>
      </c>
      <c r="N131" s="79">
        <f>MAX(Dane_kredytowe!F$17+SUM(AA$5:AA130)-SUM(X$5:X131)+SUM(W$5:W131),0)</f>
        <v>87117.407543703841</v>
      </c>
      <c r="O131" s="85">
        <f>MAX(Dane_kredytowe!F$8+SUM(V$5:V130)-SUM(S$5:S131)+SUM(R$5:R130),0)</f>
        <v>274718.77449150546</v>
      </c>
      <c r="P131" s="67">
        <f t="shared" si="122"/>
        <v>360</v>
      </c>
      <c r="Q131" s="127" t="str">
        <f>IF(AND(K131&gt;0,K131&lt;=Dane_kredytowe!F$16),"tak","nie")</f>
        <v>nie</v>
      </c>
      <c r="R131" s="69"/>
      <c r="S131" s="86">
        <f>IF(Dane_kredytowe!F$19=B131,O130+V130,_xlfn.XLOOKUP(B131,Dane_kredytowe!M$9:M$18,Dane_kredytowe!N$9:N$18,0))</f>
        <v>0</v>
      </c>
      <c r="T131" s="71">
        <f t="shared" si="74"/>
        <v>-711.97949055715162</v>
      </c>
      <c r="U131" s="72">
        <f>IF(Q131="tak",T131,IF(P131-SUM(AB$5:AB131)+1&gt;0,IF(Dane_kredytowe!F$9&lt;B131,IF(SUM(AB$5:AB131)-Dane_kredytowe!F$16+1&gt;0,PMT(M131/12,P131+1-SUM(AB$5:AB131),O131),T131),0),0))</f>
        <v>-1290.4304341576847</v>
      </c>
      <c r="V131" s="72">
        <f t="shared" si="99"/>
        <v>-578.45094360053304</v>
      </c>
      <c r="W131" s="19" t="str">
        <f t="shared" si="100"/>
        <v xml:space="preserve"> </v>
      </c>
      <c r="X131" s="19">
        <f t="shared" si="113"/>
        <v>0</v>
      </c>
      <c r="Y131" s="73">
        <f t="shared" si="76"/>
        <v>-225.77928121743244</v>
      </c>
      <c r="Z131" s="19">
        <f>IF(P131-SUM(AB$5:AB131)+1&gt;0,IF(Dane_kredytowe!F$9&lt;B131,IF(SUM(AB$5:AB131)-Dane_kredytowe!F$16+1&gt;0,PMT(M131/12,P131+1-SUM(AB$5:AB131),N131),Y131),0),0)</f>
        <v>-409.21467507052301</v>
      </c>
      <c r="AA131" s="19">
        <f t="shared" si="125"/>
        <v>-183.43539385309057</v>
      </c>
      <c r="AB131" s="20">
        <f>IF(AND(Dane_kredytowe!F$9&lt;B131,SUM(AB$5:AB130)&lt;P130),1," ")</f>
        <v>1</v>
      </c>
      <c r="AD131" s="75">
        <f>IF(OR(B131&lt;Dane_kredytowe!F$15,Dane_kredytowe!F$15=""),-F131+S131,0)</f>
        <v>0</v>
      </c>
      <c r="AE131" s="75">
        <f t="shared" si="77"/>
        <v>409.21467507052301</v>
      </c>
      <c r="AG131" s="22">
        <f>Dane_kredytowe!F$17-SUM(AI$5:AI130)+SUM(W$42:W131)-SUM(X$42:X131)</f>
        <v>81921.459999999992</v>
      </c>
      <c r="AH131" s="22">
        <f t="shared" si="78"/>
        <v>212.31</v>
      </c>
      <c r="AI131" s="22">
        <f t="shared" si="79"/>
        <v>264.26</v>
      </c>
      <c r="AJ131" s="22">
        <f t="shared" si="123"/>
        <v>476.57</v>
      </c>
      <c r="AK131" s="22">
        <f t="shared" si="80"/>
        <v>1712.34</v>
      </c>
      <c r="AL131" s="22">
        <f>Dane_kredytowe!F$8-SUM(AN$5:AN130)+SUM(R$42:R130)-SUM(S$42:S131)</f>
        <v>258333.49999999994</v>
      </c>
      <c r="AM131" s="22">
        <f t="shared" si="81"/>
        <v>669.51</v>
      </c>
      <c r="AN131" s="22">
        <f t="shared" si="82"/>
        <v>833.33</v>
      </c>
      <c r="AO131" s="22">
        <f t="shared" si="117"/>
        <v>1502.8400000000001</v>
      </c>
      <c r="AP131" s="22">
        <f t="shared" si="118"/>
        <v>209.49999999999977</v>
      </c>
      <c r="AR131" s="87">
        <f t="shared" si="83"/>
        <v>41091</v>
      </c>
      <c r="AS131" s="23">
        <f>AS$5+SUM(AV$5:AV130)-SUM(X$5:X131)+SUM(W$5:W131)</f>
        <v>127337.8949158735</v>
      </c>
      <c r="AT131" s="22">
        <f t="shared" si="84"/>
        <v>-330.01737765697214</v>
      </c>
      <c r="AU131" s="22">
        <f>IF(AB131=1,IF(Q131="tak",AT131,PMT(M131/12,P131+1-SUM(AB$5:AB131),AS131)),0)</f>
        <v>-598.14148241294379</v>
      </c>
      <c r="AV131" s="22">
        <f t="shared" si="119"/>
        <v>-268.12410475597164</v>
      </c>
      <c r="AW131" s="22">
        <f t="shared" si="85"/>
        <v>-2086.556747249313</v>
      </c>
      <c r="AY131" s="23">
        <f>AY$5+SUM(BA$5:BA130)+SUM(W$5:W130)-SUM(X$5:X130)</f>
        <v>119742.77143784183</v>
      </c>
      <c r="AZ131" s="23">
        <f t="shared" si="86"/>
        <v>-330.01737765697214</v>
      </c>
      <c r="BA131" s="23">
        <f t="shared" si="87"/>
        <v>-386.27</v>
      </c>
      <c r="BB131" s="23">
        <f t="shared" si="124"/>
        <v>-716.28737765697213</v>
      </c>
      <c r="BC131" s="23">
        <f t="shared" si="88"/>
        <v>-2498.6968882185815</v>
      </c>
      <c r="BE131" s="88">
        <f t="shared" si="89"/>
        <v>5.1299999999999998E-2</v>
      </c>
      <c r="BF131" s="89">
        <f>BE131+Dane_kredytowe!F$12</f>
        <v>8.1299999999999997E-2</v>
      </c>
      <c r="BG131" s="23">
        <f>BG$5+SUM(BH$5:BH130)+SUM(R$5:R130)-SUM(S$5:S130)</f>
        <v>287365.34655203245</v>
      </c>
      <c r="BH131" s="22">
        <f t="shared" si="126"/>
        <v>-273.80392040599372</v>
      </c>
      <c r="BI131" s="22">
        <f t="shared" si="121"/>
        <v>-1946.9002228900199</v>
      </c>
      <c r="BJ131" s="22">
        <f>IF(U131&lt;0,PMT(BF131/12,Dane_kredytowe!F$13-SUM(AB$5:AB131)+1,BG131),0)</f>
        <v>-2220.7041432960136</v>
      </c>
      <c r="BL131" s="23">
        <f>BL$5+SUM(BN$5:BN130)+SUM(R$5:R130)-SUM(S$5:S130)</f>
        <v>258333.33333333331</v>
      </c>
      <c r="BM131" s="23">
        <f t="shared" si="129"/>
        <v>-1750.208333333333</v>
      </c>
      <c r="BN131" s="23">
        <f t="shared" si="91"/>
        <v>-833.33333333333326</v>
      </c>
      <c r="BO131" s="23">
        <f t="shared" si="130"/>
        <v>-2583.5416666666661</v>
      </c>
      <c r="BQ131" s="89">
        <f t="shared" si="93"/>
        <v>6.8000000000000005E-2</v>
      </c>
      <c r="BR131" s="23">
        <f>BR$5+SUM(BS$5:BS130)+SUM(R$5:R130)-SUM(S$5:S130)+SUM(BV$5:BV130)</f>
        <v>317450.04670290824</v>
      </c>
      <c r="BS131" s="22">
        <f t="shared" si="107"/>
        <v>-377.56446866462625</v>
      </c>
      <c r="BT131" s="22">
        <f t="shared" si="108"/>
        <v>-1798.8835979831467</v>
      </c>
      <c r="BU131" s="22">
        <f>IF(U131&lt;0,PMT(BQ131/12,Dane_kredytowe!F$13-SUM(AB$5:AB131)+1,BR131),0)</f>
        <v>-2176.448066647773</v>
      </c>
      <c r="BV131" s="22">
        <f t="shared" si="101"/>
        <v>706.11845995628005</v>
      </c>
      <c r="BX131" s="23">
        <f>BX$5+SUM(BZ$5:BZ130)+SUM(R$5:R130)-SUM(S$5:S130)+SUM(CB$5,CB130)</f>
        <v>258988.81614556009</v>
      </c>
      <c r="BY131" s="22">
        <f t="shared" si="94"/>
        <v>-1467.6032914915074</v>
      </c>
      <c r="BZ131" s="22">
        <f t="shared" si="95"/>
        <v>-835.44779401793573</v>
      </c>
      <c r="CA131" s="22">
        <f t="shared" si="109"/>
        <v>-2303.0510855094431</v>
      </c>
      <c r="CB131" s="22">
        <f t="shared" si="110"/>
        <v>832.72147881795013</v>
      </c>
      <c r="CD131" s="22">
        <f>CD$5+SUM(CE$5:CE130)+SUM(R$5:R130)-SUM(S$5:S130)-SUM(CF$5:CF130)</f>
        <v>309662.28991813684</v>
      </c>
      <c r="CE131" s="22">
        <f t="shared" si="102"/>
        <v>1467.6032914915074</v>
      </c>
      <c r="CF131" s="22">
        <f t="shared" si="96"/>
        <v>1470.3296066914929</v>
      </c>
      <c r="CG131" s="22">
        <f t="shared" si="103"/>
        <v>2.7263151999854927</v>
      </c>
      <c r="CI131" s="89">
        <f t="shared" si="97"/>
        <v>0.4743</v>
      </c>
      <c r="CJ131" s="22">
        <f t="shared" si="98"/>
        <v>-697.38</v>
      </c>
      <c r="CK131" s="15">
        <f t="shared" si="104"/>
        <v>0</v>
      </c>
      <c r="CM131" s="22">
        <f t="shared" si="105"/>
        <v>-67014.00598455529</v>
      </c>
      <c r="CN131" s="15">
        <f t="shared" si="111"/>
        <v>-286.48487558397386</v>
      </c>
    </row>
    <row r="132" spans="1:92">
      <c r="A132" s="25"/>
      <c r="B132" s="80">
        <v>41122</v>
      </c>
      <c r="C132" s="81">
        <f t="shared" si="72"/>
        <v>3.4064000000000001</v>
      </c>
      <c r="D132" s="82">
        <f t="shared" si="106"/>
        <v>3.5085920000000002</v>
      </c>
      <c r="E132" s="73">
        <f t="shared" si="115"/>
        <v>-409.21467507052296</v>
      </c>
      <c r="F132" s="19">
        <f t="shared" si="127"/>
        <v>-1435.7673352350364</v>
      </c>
      <c r="G132" s="19">
        <f t="shared" si="116"/>
        <v>-1290.4304341576847</v>
      </c>
      <c r="H132" s="19">
        <f t="shared" si="128"/>
        <v>145.33690107735174</v>
      </c>
      <c r="I132" s="62"/>
      <c r="J132" s="15" t="str">
        <f t="shared" si="114"/>
        <v xml:space="preserve"> </v>
      </c>
      <c r="K132" s="15">
        <f>IF(B132&lt;=Dane_kredytowe!F$9,0,K131+1)</f>
        <v>52</v>
      </c>
      <c r="L132" s="83">
        <f t="shared" si="73"/>
        <v>1.1000000000000001E-3</v>
      </c>
      <c r="M132" s="84">
        <f>L132+Dane_kredytowe!F$12</f>
        <v>3.1099999999999999E-2</v>
      </c>
      <c r="N132" s="79">
        <f>MAX(Dane_kredytowe!F$17+SUM(AA$5:AA131)-SUM(X$5:X132)+SUM(W$5:W132),0)</f>
        <v>86933.972149850742</v>
      </c>
      <c r="O132" s="85">
        <f>MAX(Dane_kredytowe!F$8+SUM(V$5:V131)-SUM(S$5:S132)+SUM(R$5:R131),0)</f>
        <v>274140.32354790496</v>
      </c>
      <c r="P132" s="67">
        <f t="shared" si="122"/>
        <v>360</v>
      </c>
      <c r="Q132" s="127" t="str">
        <f>IF(AND(K132&gt;0,K132&lt;=Dane_kredytowe!F$16),"tak","nie")</f>
        <v>nie</v>
      </c>
      <c r="R132" s="69"/>
      <c r="S132" s="86">
        <f>IF(Dane_kredytowe!F$19=B132,O131+V131,_xlfn.XLOOKUP(B132,Dane_kredytowe!M$9:M$18,Dane_kredytowe!N$9:N$18,0))</f>
        <v>0</v>
      </c>
      <c r="T132" s="71">
        <f t="shared" si="74"/>
        <v>-710.48033852832032</v>
      </c>
      <c r="U132" s="72">
        <f>IF(Q132="tak",T132,IF(P132-SUM(AB$5:AB132)+1&gt;0,IF(Dane_kredytowe!F$9&lt;B132,IF(SUM(AB$5:AB132)-Dane_kredytowe!F$16+1&gt;0,PMT(M132/12,P132+1-SUM(AB$5:AB132),O132),T132),0),0))</f>
        <v>-1290.4304341576847</v>
      </c>
      <c r="V132" s="72">
        <f t="shared" si="99"/>
        <v>-579.95009562936434</v>
      </c>
      <c r="W132" s="19" t="str">
        <f t="shared" si="100"/>
        <v xml:space="preserve"> </v>
      </c>
      <c r="X132" s="19">
        <f t="shared" si="113"/>
        <v>0</v>
      </c>
      <c r="Y132" s="73">
        <f t="shared" si="76"/>
        <v>-225.30387782169649</v>
      </c>
      <c r="Z132" s="19">
        <f>IF(P132-SUM(AB$5:AB132)+1&gt;0,IF(Dane_kredytowe!F$9&lt;B132,IF(SUM(AB$5:AB132)-Dane_kredytowe!F$16+1&gt;0,PMT(M132/12,P132+1-SUM(AB$5:AB132),N132),Y132),0),0)</f>
        <v>-409.21467507052296</v>
      </c>
      <c r="AA132" s="19">
        <f t="shared" si="125"/>
        <v>-183.91079724882647</v>
      </c>
      <c r="AB132" s="20">
        <f>IF(AND(Dane_kredytowe!F$9&lt;B132,SUM(AB$5:AB131)&lt;P131),1," ")</f>
        <v>1</v>
      </c>
      <c r="AD132" s="75">
        <f>IF(OR(B132&lt;Dane_kredytowe!F$15,Dane_kredytowe!F$15=""),-F132+S132,0)</f>
        <v>0</v>
      </c>
      <c r="AE132" s="75">
        <f t="shared" si="77"/>
        <v>409.21467507052296</v>
      </c>
      <c r="AG132" s="22">
        <f>Dane_kredytowe!F$17-SUM(AI$5:AI131)+SUM(W$42:W132)-SUM(X$42:X132)</f>
        <v>81657.2</v>
      </c>
      <c r="AH132" s="22">
        <f t="shared" si="78"/>
        <v>211.63</v>
      </c>
      <c r="AI132" s="22">
        <f t="shared" si="79"/>
        <v>264.26</v>
      </c>
      <c r="AJ132" s="22">
        <f t="shared" si="123"/>
        <v>475.89</v>
      </c>
      <c r="AK132" s="22">
        <f t="shared" si="80"/>
        <v>1669.7</v>
      </c>
      <c r="AL132" s="22">
        <f>Dane_kredytowe!F$8-SUM(AN$5:AN131)+SUM(R$42:R131)-SUM(S$42:S132)</f>
        <v>257500.16999999995</v>
      </c>
      <c r="AM132" s="22">
        <f t="shared" si="81"/>
        <v>667.35</v>
      </c>
      <c r="AN132" s="22">
        <f t="shared" si="82"/>
        <v>833.33</v>
      </c>
      <c r="AO132" s="22">
        <f t="shared" si="117"/>
        <v>1500.68</v>
      </c>
      <c r="AP132" s="22">
        <f t="shared" si="118"/>
        <v>169.01999999999998</v>
      </c>
      <c r="AR132" s="87">
        <f t="shared" si="83"/>
        <v>41122</v>
      </c>
      <c r="AS132" s="23">
        <f>AS$5+SUM(AV$5:AV131)-SUM(X$5:X132)+SUM(W$5:W132)</f>
        <v>127069.77081111753</v>
      </c>
      <c r="AT132" s="22">
        <f t="shared" si="84"/>
        <v>-329.32248935214625</v>
      </c>
      <c r="AU132" s="22">
        <f>IF(AB132=1,IF(Q132="tak",AT132,PMT(M132/12,P132+1-SUM(AB$5:AB132),AS132)),0)</f>
        <v>-598.14148241294367</v>
      </c>
      <c r="AV132" s="22">
        <f t="shared" si="119"/>
        <v>-268.81899306079742</v>
      </c>
      <c r="AW132" s="22">
        <f t="shared" si="85"/>
        <v>-2037.5091456914513</v>
      </c>
      <c r="AY132" s="23">
        <f>AY$5+SUM(BA$5:BA131)+SUM(W$5:W131)-SUM(X$5:X131)</f>
        <v>119356.50143784183</v>
      </c>
      <c r="AZ132" s="23">
        <f t="shared" si="86"/>
        <v>-329.32248935214625</v>
      </c>
      <c r="BA132" s="23">
        <f t="shared" si="87"/>
        <v>-386.27</v>
      </c>
      <c r="BB132" s="23">
        <f t="shared" si="124"/>
        <v>-715.59248935214623</v>
      </c>
      <c r="BC132" s="23">
        <f t="shared" si="88"/>
        <v>-2437.594255729151</v>
      </c>
      <c r="BE132" s="88">
        <f t="shared" si="89"/>
        <v>5.0999999999999997E-2</v>
      </c>
      <c r="BF132" s="89">
        <f>BE132+Dane_kredytowe!F$12</f>
        <v>8.0999999999999989E-2</v>
      </c>
      <c r="BG132" s="23">
        <f>BG$5+SUM(BH$5:BH131)+SUM(R$5:R131)-SUM(S$5:S131)</f>
        <v>287091.54263162642</v>
      </c>
      <c r="BH132" s="22">
        <f t="shared" si="126"/>
        <v>-277.05966309933251</v>
      </c>
      <c r="BI132" s="22">
        <f t="shared" si="121"/>
        <v>-1937.867912763478</v>
      </c>
      <c r="BJ132" s="22">
        <f>IF(U132&lt;0,PMT(BF132/12,Dane_kredytowe!F$13-SUM(AB$5:AB132)+1,BG132),0)</f>
        <v>-2214.9275758628105</v>
      </c>
      <c r="BL132" s="23">
        <f>BL$5+SUM(BN$5:BN131)+SUM(R$5:R131)-SUM(S$5:S131)</f>
        <v>257500</v>
      </c>
      <c r="BM132" s="23">
        <f t="shared" si="129"/>
        <v>-1738.1249999999998</v>
      </c>
      <c r="BN132" s="23">
        <f t="shared" si="91"/>
        <v>-833.33333333333337</v>
      </c>
      <c r="BO132" s="23">
        <f t="shared" si="130"/>
        <v>-2571.458333333333</v>
      </c>
      <c r="BQ132" s="89">
        <f t="shared" si="93"/>
        <v>6.7699999999999996E-2</v>
      </c>
      <c r="BR132" s="23">
        <f>BR$5+SUM(BS$5:BS131)+SUM(R$5:R131)-SUM(S$5:S131)+SUM(BV$5:BV131)</f>
        <v>317778.60069419991</v>
      </c>
      <c r="BS132" s="22">
        <f t="shared" si="107"/>
        <v>-382.41541082381764</v>
      </c>
      <c r="BT132" s="22">
        <f t="shared" si="108"/>
        <v>-1792.8009389164445</v>
      </c>
      <c r="BU132" s="22">
        <f>IF(U132&lt;0,PMT(BQ132/12,Dane_kredytowe!F$13-SUM(AB$5:AB132)+1,BR132),0)</f>
        <v>-2175.2163497402621</v>
      </c>
      <c r="BV132" s="22">
        <f t="shared" si="101"/>
        <v>739.4490145052257</v>
      </c>
      <c r="BX132" s="23">
        <f>BX$5+SUM(BZ$5:BZ131)+SUM(R$5:R131)-SUM(S$5:S131)+SUM(CB$5,CB131)</f>
        <v>258192.17728616053</v>
      </c>
      <c r="BY132" s="22">
        <f t="shared" si="94"/>
        <v>-1456.634200189422</v>
      </c>
      <c r="BZ132" s="22">
        <f t="shared" si="95"/>
        <v>-835.57338927560045</v>
      </c>
      <c r="CA132" s="22">
        <f t="shared" si="109"/>
        <v>-2292.2075894650225</v>
      </c>
      <c r="CB132" s="22">
        <f t="shared" si="110"/>
        <v>856.44025422998607</v>
      </c>
      <c r="CD132" s="22">
        <f>CD$5+SUM(CE$5:CE131)+SUM(R$5:R131)-SUM(S$5:S131)-SUM(CF$5:CF131)</f>
        <v>309659.56360293686</v>
      </c>
      <c r="CE132" s="22">
        <f t="shared" si="102"/>
        <v>1456.634200189422</v>
      </c>
      <c r="CF132" s="22">
        <f t="shared" si="96"/>
        <v>1435.7673352350364</v>
      </c>
      <c r="CG132" s="22">
        <f t="shared" si="103"/>
        <v>-20.866864954385619</v>
      </c>
      <c r="CI132" s="89">
        <f t="shared" si="97"/>
        <v>0.47870000000000001</v>
      </c>
      <c r="CJ132" s="22">
        <f t="shared" si="98"/>
        <v>-687.3</v>
      </c>
      <c r="CK132" s="15">
        <f t="shared" si="104"/>
        <v>0</v>
      </c>
      <c r="CM132" s="22">
        <f t="shared" si="105"/>
        <v>-68449.773319790329</v>
      </c>
      <c r="CN132" s="15">
        <f t="shared" si="111"/>
        <v>-290.91153660910885</v>
      </c>
    </row>
    <row r="133" spans="1:92">
      <c r="A133" s="25"/>
      <c r="B133" s="80">
        <v>41153</v>
      </c>
      <c r="C133" s="81">
        <f t="shared" ref="C133:C196" si="131">VLOOKUP(B133,Kursy,C$2)</f>
        <v>3.4167999999999998</v>
      </c>
      <c r="D133" s="82">
        <f t="shared" si="106"/>
        <v>3.519304</v>
      </c>
      <c r="E133" s="73">
        <f t="shared" si="115"/>
        <v>-409.21467507052301</v>
      </c>
      <c r="F133" s="19">
        <f t="shared" si="127"/>
        <v>-1440.1508428343918</v>
      </c>
      <c r="G133" s="19">
        <f t="shared" si="116"/>
        <v>-1290.4304341576849</v>
      </c>
      <c r="H133" s="19">
        <f t="shared" si="128"/>
        <v>149.72040867670694</v>
      </c>
      <c r="I133" s="62"/>
      <c r="J133" s="15" t="str">
        <f t="shared" si="114"/>
        <v xml:space="preserve"> </v>
      </c>
      <c r="K133" s="15">
        <f>IF(B133&lt;=Dane_kredytowe!F$9,0,K132+1)</f>
        <v>53</v>
      </c>
      <c r="L133" s="83">
        <f t="shared" ref="L133:L196" si="132">VLOOKUP(B133,Oproc,C$2)</f>
        <v>1.1000000000000001E-3</v>
      </c>
      <c r="M133" s="84">
        <f>L133+Dane_kredytowe!F$12</f>
        <v>3.1099999999999999E-2</v>
      </c>
      <c r="N133" s="79">
        <f>MAX(Dane_kredytowe!F$17+SUM(AA$5:AA132)-SUM(X$5:X133)+SUM(W$5:W133),0)</f>
        <v>86750.061352601915</v>
      </c>
      <c r="O133" s="85">
        <f>MAX(Dane_kredytowe!F$8+SUM(V$5:V132)-SUM(S$5:S133)+SUM(R$5:R132),0)</f>
        <v>273560.37345227558</v>
      </c>
      <c r="P133" s="67">
        <f t="shared" si="122"/>
        <v>360</v>
      </c>
      <c r="Q133" s="127" t="str">
        <f>IF(AND(K133&gt;0,K133&lt;=Dane_kredytowe!F$16),"tak","nie")</f>
        <v>nie</v>
      </c>
      <c r="R133" s="69"/>
      <c r="S133" s="86">
        <f>IF(Dane_kredytowe!F$19=B133,O132+V132,_xlfn.XLOOKUP(B133,Dane_kredytowe!M$9:M$18,Dane_kredytowe!N$9:N$18,0))</f>
        <v>0</v>
      </c>
      <c r="T133" s="71">
        <f t="shared" ref="T133:T196" si="133">IF(AB133=1,-O133*M133/12,0)</f>
        <v>-708.97730119714754</v>
      </c>
      <c r="U133" s="72">
        <f>IF(Q133="tak",T133,IF(P133-SUM(AB$5:AB133)+1&gt;0,IF(Dane_kredytowe!F$9&lt;B133,IF(SUM(AB$5:AB133)-Dane_kredytowe!F$16+1&gt;0,PMT(M133/12,P133+1-SUM(AB$5:AB133),O133),T133),0),0))</f>
        <v>-1290.4304341576849</v>
      </c>
      <c r="V133" s="72">
        <f t="shared" si="99"/>
        <v>-581.45313296053735</v>
      </c>
      <c r="W133" s="19" t="str">
        <f t="shared" si="100"/>
        <v xml:space="preserve"> </v>
      </c>
      <c r="X133" s="19">
        <f t="shared" si="113"/>
        <v>0</v>
      </c>
      <c r="Y133" s="73">
        <f t="shared" ref="Y133:Y196" si="134">IF(AB133=1,-N133*M133/12,0)</f>
        <v>-224.82724233882664</v>
      </c>
      <c r="Z133" s="19">
        <f>IF(P133-SUM(AB$5:AB133)+1&gt;0,IF(Dane_kredytowe!F$9&lt;B133,IF(SUM(AB$5:AB133)-Dane_kredytowe!F$16+1&gt;0,PMT(M133/12,P133+1-SUM(AB$5:AB133),N133),Y133),0),0)</f>
        <v>-409.21467507052301</v>
      </c>
      <c r="AA133" s="19">
        <f t="shared" si="125"/>
        <v>-184.38743273169638</v>
      </c>
      <c r="AB133" s="20">
        <f>IF(AND(Dane_kredytowe!F$9&lt;B133,SUM(AB$5:AB132)&lt;P132),1," ")</f>
        <v>1</v>
      </c>
      <c r="AD133" s="75">
        <f>IF(OR(B133&lt;Dane_kredytowe!F$15,Dane_kredytowe!F$15=""),-F133+S133,0)</f>
        <v>0</v>
      </c>
      <c r="AE133" s="75">
        <f t="shared" ref="AE133:AE196" si="135">IF(AD133=0,-E133+X133,0)</f>
        <v>409.21467507052301</v>
      </c>
      <c r="AG133" s="22">
        <f>Dane_kredytowe!F$17-SUM(AI$5:AI132)+SUM(W$42:W133)-SUM(X$42:X133)</f>
        <v>81392.94</v>
      </c>
      <c r="AH133" s="22">
        <f t="shared" ref="AH133:AH196" si="136">IF(AB133=1,ROUND(AG133*M133/12,2),0)</f>
        <v>210.94</v>
      </c>
      <c r="AI133" s="22">
        <f t="shared" ref="AI133:AI196" si="137">IF(Q133="tak",0,IF(AB133=1,ROUND(AG133/(P133-K133+1),2),0))</f>
        <v>264.26</v>
      </c>
      <c r="AJ133" s="22">
        <f t="shared" si="123"/>
        <v>475.2</v>
      </c>
      <c r="AK133" s="22">
        <f t="shared" ref="AK133:AK196" si="138">ROUND(AJ133*D133,2)</f>
        <v>1672.37</v>
      </c>
      <c r="AL133" s="22">
        <f>Dane_kredytowe!F$8-SUM(AN$5:AN132)+SUM(R$42:R132)-SUM(S$42:S133)</f>
        <v>256666.83999999994</v>
      </c>
      <c r="AM133" s="22">
        <f t="shared" ref="AM133:AM196" si="139">IF(AB133=1,ROUND(AL133*M133/12,2),0)</f>
        <v>665.19</v>
      </c>
      <c r="AN133" s="22">
        <f t="shared" ref="AN133:AN196" si="140">IF(Q133="tak",0,IF(AB133=1,ROUND(AL133/(P133-K133+1),2),0))</f>
        <v>833.33</v>
      </c>
      <c r="AO133" s="22">
        <f t="shared" si="117"/>
        <v>1498.52</v>
      </c>
      <c r="AP133" s="22">
        <f t="shared" si="118"/>
        <v>173.84999999999991</v>
      </c>
      <c r="AR133" s="87">
        <f t="shared" ref="AR133:AR196" si="141">B133</f>
        <v>41153</v>
      </c>
      <c r="AS133" s="23">
        <f>AS$5+SUM(AV$5:AV132)-SUM(X$5:X133)+SUM(W$5:W133)</f>
        <v>126800.95181805674</v>
      </c>
      <c r="AT133" s="22">
        <f t="shared" ref="AT133:AT196" si="142">IF(AB133=1,-AS133*M133/12,0)</f>
        <v>-328.62580012846371</v>
      </c>
      <c r="AU133" s="22">
        <f>IF(AB133=1,IF(Q133="tak",AT133,PMT(M133/12,P133+1-SUM(AB$5:AB133),AS133)),0)</f>
        <v>-598.14148241294379</v>
      </c>
      <c r="AV133" s="22">
        <f t="shared" si="119"/>
        <v>-269.51568228448008</v>
      </c>
      <c r="AW133" s="22">
        <f t="shared" ref="AW133:AW196" si="143">AU133*C133</f>
        <v>-2043.7298171085463</v>
      </c>
      <c r="AY133" s="23">
        <f>AY$5+SUM(BA$5:BA132)+SUM(W$5:W132)-SUM(X$5:X132)</f>
        <v>118970.23143784184</v>
      </c>
      <c r="AZ133" s="23">
        <f t="shared" ref="AZ133:AZ196" si="144">IF(AB133=1,-AS133*M133/12,0)</f>
        <v>-328.62580012846371</v>
      </c>
      <c r="BA133" s="23">
        <f t="shared" ref="BA133:BA196" si="145">IF(AB133=1,IF(Q133="tak",0,ROUND(-AY133/(P133-K133+1),2)),0)</f>
        <v>-386.27</v>
      </c>
      <c r="BB133" s="23">
        <f t="shared" si="124"/>
        <v>-714.89580012846363</v>
      </c>
      <c r="BC133" s="23">
        <f t="shared" ref="BC133:BC196" si="146">BB133*C133</f>
        <v>-2442.6559698789342</v>
      </c>
      <c r="BE133" s="88">
        <f t="shared" ref="BE133:BE196" si="147">VLOOKUP(B133,Oproc,5)</f>
        <v>4.9500000000000002E-2</v>
      </c>
      <c r="BF133" s="89">
        <f>BE133+Dane_kredytowe!F$12</f>
        <v>7.9500000000000001E-2</v>
      </c>
      <c r="BG133" s="23">
        <f>BG$5+SUM(BH$5:BH132)+SUM(R$5:R132)-SUM(S$5:S132)</f>
        <v>286814.48296852713</v>
      </c>
      <c r="BH133" s="22">
        <f t="shared" si="126"/>
        <v>-286.04379082070113</v>
      </c>
      <c r="BI133" s="22">
        <f t="shared" si="121"/>
        <v>-1900.1459496664922</v>
      </c>
      <c r="BJ133" s="22">
        <f>IF(U133&lt;0,PMT(BF133/12,Dane_kredytowe!F$13-SUM(AB$5:AB133)+1,BG133),0)</f>
        <v>-2186.1897404871934</v>
      </c>
      <c r="BL133" s="23">
        <f>BL$5+SUM(BN$5:BN132)+SUM(R$5:R132)-SUM(S$5:S132)</f>
        <v>256666.66666666666</v>
      </c>
      <c r="BM133" s="23">
        <f t="shared" si="129"/>
        <v>-1700.4166666666667</v>
      </c>
      <c r="BN133" s="23">
        <f t="shared" ref="BN133:BN196" si="148">IF(AB133=1,-BL133/(P133-K133+1),0)</f>
        <v>-833.33333333333326</v>
      </c>
      <c r="BO133" s="23">
        <f t="shared" si="130"/>
        <v>-2533.75</v>
      </c>
      <c r="BQ133" s="89">
        <f t="shared" ref="BQ133:BQ196" si="149">BE133+$BQ$4</f>
        <v>6.6200000000000009E-2</v>
      </c>
      <c r="BR133" s="23">
        <f>BR$5+SUM(BS$5:BS132)+SUM(R$5:R132)-SUM(S$5:S132)+SUM(BV$5:BV132)</f>
        <v>318135.63429788133</v>
      </c>
      <c r="BS133" s="22">
        <f t="shared" si="107"/>
        <v>-394.94971408244055</v>
      </c>
      <c r="BT133" s="22">
        <f t="shared" si="108"/>
        <v>-1755.0482492099791</v>
      </c>
      <c r="BU133" s="22">
        <f>IF(U133&lt;0,PMT(BQ133/12,Dane_kredytowe!F$13-SUM(AB$5:AB133)+1,BR133),0)</f>
        <v>-2149.9979632924196</v>
      </c>
      <c r="BV133" s="22">
        <f t="shared" si="101"/>
        <v>709.8471204580278</v>
      </c>
      <c r="BX133" s="23">
        <f>BX$5+SUM(BZ$5:BZ132)+SUM(R$5:R132)-SUM(S$5:S132)+SUM(CB$5,CB132)</f>
        <v>257380.32267229696</v>
      </c>
      <c r="BY133" s="22">
        <f t="shared" ref="BY133:BY196" si="150">IF(AB133=1,-BQ133*BX133/12,0)</f>
        <v>-1419.8814467421716</v>
      </c>
      <c r="BZ133" s="22">
        <f t="shared" ref="BZ133:BZ196" si="151">IF(AB133=1,-BX133/(P133-K133+1),0)</f>
        <v>-835.65039828667841</v>
      </c>
      <c r="CA133" s="22">
        <f t="shared" si="109"/>
        <v>-2255.5318450288501</v>
      </c>
      <c r="CB133" s="22">
        <f t="shared" si="110"/>
        <v>815.38100219445823</v>
      </c>
      <c r="CD133" s="22">
        <f>CD$5+SUM(CE$5:CE132)+SUM(R$5:R132)-SUM(S$5:S132)-SUM(CF$5:CF132)</f>
        <v>309680.43046789122</v>
      </c>
      <c r="CE133" s="22">
        <f t="shared" si="102"/>
        <v>1419.8814467421716</v>
      </c>
      <c r="CF133" s="22">
        <f t="shared" ref="CF133:CF196" si="152">-F133</f>
        <v>1440.1508428343918</v>
      </c>
      <c r="CG133" s="22">
        <f t="shared" si="103"/>
        <v>20.269396092220177</v>
      </c>
      <c r="CI133" s="89">
        <f t="shared" ref="CI133:CI196" si="153">VLOOKUP(B133,Inflacja,2)</f>
        <v>0.47720000000000001</v>
      </c>
      <c r="CJ133" s="22">
        <f t="shared" ref="CJ133:CJ196" si="154">ROUND(CI133*(F133-S133),2)</f>
        <v>-687.24</v>
      </c>
      <c r="CK133" s="15">
        <f t="shared" si="104"/>
        <v>0</v>
      </c>
      <c r="CM133" s="22">
        <f t="shared" si="105"/>
        <v>-69889.924162624724</v>
      </c>
      <c r="CN133" s="15">
        <f t="shared" si="111"/>
        <v>-288.29593717082702</v>
      </c>
    </row>
    <row r="134" spans="1:92">
      <c r="A134" s="25"/>
      <c r="B134" s="80">
        <v>41183</v>
      </c>
      <c r="C134" s="81">
        <f t="shared" si="131"/>
        <v>3.3965000000000001</v>
      </c>
      <c r="D134" s="82">
        <f t="shared" si="106"/>
        <v>3.4983950000000004</v>
      </c>
      <c r="E134" s="73">
        <f t="shared" si="115"/>
        <v>-409.21467507052307</v>
      </c>
      <c r="F134" s="19">
        <f t="shared" si="127"/>
        <v>-1431.5945731933427</v>
      </c>
      <c r="G134" s="19">
        <f t="shared" si="116"/>
        <v>-1290.4304341576849</v>
      </c>
      <c r="H134" s="19">
        <f t="shared" si="128"/>
        <v>141.16413903565785</v>
      </c>
      <c r="I134" s="62"/>
      <c r="J134" s="15" t="str">
        <f t="shared" si="114"/>
        <v xml:space="preserve"> </v>
      </c>
      <c r="K134" s="15">
        <f>IF(B134&lt;=Dane_kredytowe!F$9,0,K133+1)</f>
        <v>54</v>
      </c>
      <c r="L134" s="83">
        <f t="shared" si="132"/>
        <v>1.1000000000000001E-3</v>
      </c>
      <c r="M134" s="84">
        <f>L134+Dane_kredytowe!F$12</f>
        <v>3.1099999999999999E-2</v>
      </c>
      <c r="N134" s="79">
        <f>MAX(Dane_kredytowe!F$17+SUM(AA$5:AA133)-SUM(X$5:X134)+SUM(W$5:W134),0)</f>
        <v>86565.673919870227</v>
      </c>
      <c r="O134" s="85">
        <f>MAX(Dane_kredytowe!F$8+SUM(V$5:V133)-SUM(S$5:S134)+SUM(R$5:R133),0)</f>
        <v>272978.92031931505</v>
      </c>
      <c r="P134" s="67">
        <f t="shared" si="122"/>
        <v>360</v>
      </c>
      <c r="Q134" s="127" t="str">
        <f>IF(AND(K134&gt;0,K134&lt;=Dane_kredytowe!F$16),"tak","nie")</f>
        <v>nie</v>
      </c>
      <c r="R134" s="69"/>
      <c r="S134" s="86">
        <f>IF(Dane_kredytowe!F$19=B134,O133+V133,_xlfn.XLOOKUP(B134,Dane_kredytowe!M$9:M$18,Dane_kredytowe!N$9:N$18,0))</f>
        <v>0</v>
      </c>
      <c r="T134" s="71">
        <f t="shared" si="133"/>
        <v>-707.47036849422477</v>
      </c>
      <c r="U134" s="72">
        <f>IF(Q134="tak",T134,IF(P134-SUM(AB$5:AB134)+1&gt;0,IF(Dane_kredytowe!F$9&lt;B134,IF(SUM(AB$5:AB134)-Dane_kredytowe!F$16+1&gt;0,PMT(M134/12,P134+1-SUM(AB$5:AB134),O134),T134),0),0))</f>
        <v>-1290.4304341576849</v>
      </c>
      <c r="V134" s="72">
        <f t="shared" ref="V134:V197" si="155">U134-T134</f>
        <v>-582.96006566346011</v>
      </c>
      <c r="W134" s="19" t="str">
        <f t="shared" ref="W134:W197" si="156">IF(R134&gt;0,R134/(C134*(1-$J$1))," ")</f>
        <v xml:space="preserve"> </v>
      </c>
      <c r="X134" s="19">
        <f t="shared" si="113"/>
        <v>0</v>
      </c>
      <c r="Y134" s="73">
        <f t="shared" si="134"/>
        <v>-224.34937157566367</v>
      </c>
      <c r="Z134" s="19">
        <f>IF(P134-SUM(AB$5:AB134)+1&gt;0,IF(Dane_kredytowe!F$9&lt;B134,IF(SUM(AB$5:AB134)-Dane_kredytowe!F$16+1&gt;0,PMT(M134/12,P134+1-SUM(AB$5:AB134),N134),Y134),0),0)</f>
        <v>-409.21467507052307</v>
      </c>
      <c r="AA134" s="19">
        <f t="shared" si="125"/>
        <v>-184.8653034948594</v>
      </c>
      <c r="AB134" s="20">
        <f>IF(AND(Dane_kredytowe!F$9&lt;B134,SUM(AB$5:AB133)&lt;P133),1," ")</f>
        <v>1</v>
      </c>
      <c r="AD134" s="75">
        <f>IF(OR(B134&lt;Dane_kredytowe!F$15,Dane_kredytowe!F$15=""),-F134+S134,0)</f>
        <v>0</v>
      </c>
      <c r="AE134" s="75">
        <f t="shared" si="135"/>
        <v>409.21467507052307</v>
      </c>
      <c r="AG134" s="22">
        <f>Dane_kredytowe!F$17-SUM(AI$5:AI133)+SUM(W$42:W134)-SUM(X$42:X134)</f>
        <v>81128.679999999993</v>
      </c>
      <c r="AH134" s="22">
        <f t="shared" si="136"/>
        <v>210.26</v>
      </c>
      <c r="AI134" s="22">
        <f t="shared" si="137"/>
        <v>264.26</v>
      </c>
      <c r="AJ134" s="22">
        <f t="shared" si="123"/>
        <v>474.52</v>
      </c>
      <c r="AK134" s="22">
        <f t="shared" si="138"/>
        <v>1660.06</v>
      </c>
      <c r="AL134" s="22">
        <f>Dane_kredytowe!F$8-SUM(AN$5:AN133)+SUM(R$42:R133)-SUM(S$42:S134)</f>
        <v>255833.50999999995</v>
      </c>
      <c r="AM134" s="22">
        <f t="shared" si="139"/>
        <v>663.04</v>
      </c>
      <c r="AN134" s="22">
        <f t="shared" si="140"/>
        <v>833.33</v>
      </c>
      <c r="AO134" s="22">
        <f t="shared" si="117"/>
        <v>1496.37</v>
      </c>
      <c r="AP134" s="22">
        <f t="shared" si="118"/>
        <v>163.69000000000005</v>
      </c>
      <c r="AR134" s="87">
        <f t="shared" si="141"/>
        <v>41183</v>
      </c>
      <c r="AS134" s="23">
        <f>AS$5+SUM(AV$5:AV133)-SUM(X$5:X134)+SUM(W$5:W134)</f>
        <v>126531.43613577225</v>
      </c>
      <c r="AT134" s="22">
        <f t="shared" si="142"/>
        <v>-327.92730531854306</v>
      </c>
      <c r="AU134" s="22">
        <f>IF(AB134=1,IF(Q134="tak",AT134,PMT(M134/12,P134+1-SUM(AB$5:AB134),AS134)),0)</f>
        <v>-598.14148241294379</v>
      </c>
      <c r="AV134" s="22">
        <f t="shared" si="119"/>
        <v>-270.21417709440072</v>
      </c>
      <c r="AW134" s="22">
        <f t="shared" si="143"/>
        <v>-2031.5875450155636</v>
      </c>
      <c r="AY134" s="23">
        <f>AY$5+SUM(BA$5:BA133)+SUM(W$5:W133)-SUM(X$5:X133)</f>
        <v>118583.96143784183</v>
      </c>
      <c r="AZ134" s="23">
        <f t="shared" si="144"/>
        <v>-327.92730531854306</v>
      </c>
      <c r="BA134" s="23">
        <f t="shared" si="145"/>
        <v>-386.27</v>
      </c>
      <c r="BB134" s="23">
        <f t="shared" si="124"/>
        <v>-714.19730531854304</v>
      </c>
      <c r="BC134" s="23">
        <f t="shared" si="146"/>
        <v>-2425.7711475144315</v>
      </c>
      <c r="BE134" s="88">
        <f t="shared" si="147"/>
        <v>4.82E-2</v>
      </c>
      <c r="BF134" s="89">
        <f>BE134+Dane_kredytowe!F$12</f>
        <v>7.8199999999999992E-2</v>
      </c>
      <c r="BG134" s="23">
        <f>BG$5+SUM(BH$5:BH133)+SUM(R$5:R133)-SUM(S$5:S133)</f>
        <v>286528.43917770643</v>
      </c>
      <c r="BH134" s="22">
        <f t="shared" si="126"/>
        <v>-294.24435637556098</v>
      </c>
      <c r="BI134" s="22">
        <f t="shared" si="121"/>
        <v>-1867.2103286413867</v>
      </c>
      <c r="BJ134" s="22">
        <f>IF(U134&lt;0,PMT(BF134/12,Dane_kredytowe!F$13-SUM(AB$5:AB134)+1,BG134),0)</f>
        <v>-2161.4546850169477</v>
      </c>
      <c r="BL134" s="23">
        <f>BL$5+SUM(BN$5:BN133)+SUM(R$5:R133)-SUM(S$5:S133)</f>
        <v>255833.33333333331</v>
      </c>
      <c r="BM134" s="23">
        <f t="shared" si="129"/>
        <v>-1667.1805555555554</v>
      </c>
      <c r="BN134" s="23">
        <f t="shared" si="148"/>
        <v>-833.33333333333326</v>
      </c>
      <c r="BO134" s="23">
        <f t="shared" si="130"/>
        <v>-2500.5138888888887</v>
      </c>
      <c r="BQ134" s="89">
        <f t="shared" si="149"/>
        <v>6.4899999999999999E-2</v>
      </c>
      <c r="BR134" s="23">
        <f>BR$5+SUM(BS$5:BS133)+SUM(R$5:R133)-SUM(S$5:S133)+SUM(BV$5:BV133)</f>
        <v>318450.53170425689</v>
      </c>
      <c r="BS134" s="22">
        <f t="shared" si="107"/>
        <v>-406.41908465517213</v>
      </c>
      <c r="BT134" s="22">
        <f t="shared" si="108"/>
        <v>-1722.2866256338559</v>
      </c>
      <c r="BU134" s="22">
        <f>IF(U134&lt;0,PMT(BQ134/12,Dane_kredytowe!F$13-SUM(AB$5:AB134)+1,BR134),0)</f>
        <v>-2128.705710289028</v>
      </c>
      <c r="BV134" s="22">
        <f t="shared" ref="BV134:BV197" si="157">F134-BU134</f>
        <v>697.11113709568531</v>
      </c>
      <c r="BX134" s="23">
        <f>BX$5+SUM(BZ$5:BZ133)+SUM(R$5:R133)-SUM(S$5:S133)+SUM(CB$5,CB133)</f>
        <v>256503.61302197474</v>
      </c>
      <c r="BY134" s="22">
        <f t="shared" si="150"/>
        <v>-1387.2570404271801</v>
      </c>
      <c r="BZ134" s="22">
        <f t="shared" si="151"/>
        <v>-835.51665479470603</v>
      </c>
      <c r="CA134" s="22">
        <f t="shared" si="109"/>
        <v>-2222.7736952218861</v>
      </c>
      <c r="CB134" s="22">
        <f t="shared" si="110"/>
        <v>791.17912202854336</v>
      </c>
      <c r="CD134" s="22">
        <f>CD$5+SUM(CE$5:CE133)+SUM(R$5:R133)-SUM(S$5:S133)-SUM(CF$5:CF133)</f>
        <v>309660.161071799</v>
      </c>
      <c r="CE134" s="22">
        <f t="shared" ref="CE134:CE197" si="158">IF(AB134=1,BQ134*BX134/12,0)</f>
        <v>1387.2570404271801</v>
      </c>
      <c r="CF134" s="22">
        <f t="shared" si="152"/>
        <v>1431.5945731933427</v>
      </c>
      <c r="CG134" s="22">
        <f t="shared" ref="CG134:CG197" si="159">CF134-CE134</f>
        <v>44.337532766162667</v>
      </c>
      <c r="CI134" s="89">
        <f t="shared" si="153"/>
        <v>0.4713</v>
      </c>
      <c r="CJ134" s="22">
        <f t="shared" si="154"/>
        <v>-674.71</v>
      </c>
      <c r="CK134" s="15">
        <f t="shared" ref="CK134:CK197" si="160">ROUND(R134*CI134,2)</f>
        <v>0</v>
      </c>
      <c r="CM134" s="22">
        <f t="shared" ref="CM134:CM197" si="161">F134+S134+CM133</f>
        <v>-71321.51873581807</v>
      </c>
      <c r="CN134" s="15">
        <f t="shared" si="111"/>
        <v>-286.4747669222026</v>
      </c>
    </row>
    <row r="135" spans="1:92">
      <c r="A135" s="25"/>
      <c r="B135" s="80">
        <v>41214</v>
      </c>
      <c r="C135" s="81">
        <f t="shared" si="131"/>
        <v>3.431</v>
      </c>
      <c r="D135" s="82">
        <f t="shared" ref="D135:D198" si="162">C135*(1+$J$1)</f>
        <v>3.5339300000000002</v>
      </c>
      <c r="E135" s="73">
        <f t="shared" si="115"/>
        <v>-409.21467507052301</v>
      </c>
      <c r="F135" s="19">
        <f t="shared" si="127"/>
        <v>-1446.1360166719735</v>
      </c>
      <c r="G135" s="19">
        <f t="shared" si="116"/>
        <v>-1290.4304341576849</v>
      </c>
      <c r="H135" s="19">
        <f t="shared" si="128"/>
        <v>155.70558251428861</v>
      </c>
      <c r="I135" s="62"/>
      <c r="J135" s="15" t="str">
        <f t="shared" si="114"/>
        <v xml:space="preserve"> </v>
      </c>
      <c r="K135" s="15">
        <f>IF(B135&lt;=Dane_kredytowe!F$9,0,K134+1)</f>
        <v>55</v>
      </c>
      <c r="L135" s="83">
        <f t="shared" si="132"/>
        <v>1.1000000000000001E-3</v>
      </c>
      <c r="M135" s="84">
        <f>L135+Dane_kredytowe!F$12</f>
        <v>3.1099999999999999E-2</v>
      </c>
      <c r="N135" s="79">
        <f>MAX(Dane_kredytowe!F$17+SUM(AA$5:AA134)-SUM(X$5:X135)+SUM(W$5:W135),0)</f>
        <v>86380.808616375361</v>
      </c>
      <c r="O135" s="85">
        <f>MAX(Dane_kredytowe!F$8+SUM(V$5:V134)-SUM(S$5:S135)+SUM(R$5:R134),0)</f>
        <v>272395.9602536516</v>
      </c>
      <c r="P135" s="67">
        <f t="shared" si="122"/>
        <v>360</v>
      </c>
      <c r="Q135" s="127" t="str">
        <f>IF(AND(K135&gt;0,K135&lt;=Dane_kredytowe!F$16),"tak","nie")</f>
        <v>nie</v>
      </c>
      <c r="R135" s="69"/>
      <c r="S135" s="86">
        <f>IF(Dane_kredytowe!F$19=B135,O134+V134,_xlfn.XLOOKUP(B135,Dane_kredytowe!M$9:M$18,Dane_kredytowe!N$9:N$18,0))</f>
        <v>0</v>
      </c>
      <c r="T135" s="71">
        <f t="shared" si="133"/>
        <v>-705.95953032404702</v>
      </c>
      <c r="U135" s="72">
        <f>IF(Q135="tak",T135,IF(P135-SUM(AB$5:AB135)+1&gt;0,IF(Dane_kredytowe!F$9&lt;B135,IF(SUM(AB$5:AB135)-Dane_kredytowe!F$16+1&gt;0,PMT(M135/12,P135+1-SUM(AB$5:AB135),O135),T135),0),0))</f>
        <v>-1290.4304341576849</v>
      </c>
      <c r="V135" s="72">
        <f t="shared" si="155"/>
        <v>-584.47090383363786</v>
      </c>
      <c r="W135" s="19" t="str">
        <f t="shared" si="156"/>
        <v xml:space="preserve"> </v>
      </c>
      <c r="X135" s="19">
        <f t="shared" si="113"/>
        <v>0</v>
      </c>
      <c r="Y135" s="73">
        <f t="shared" si="134"/>
        <v>-223.87026233077279</v>
      </c>
      <c r="Z135" s="19">
        <f>IF(P135-SUM(AB$5:AB135)+1&gt;0,IF(Dane_kredytowe!F$9&lt;B135,IF(SUM(AB$5:AB135)-Dane_kredytowe!F$16+1&gt;0,PMT(M135/12,P135+1-SUM(AB$5:AB135),N135),Y135),0),0)</f>
        <v>-409.21467507052301</v>
      </c>
      <c r="AA135" s="19">
        <f t="shared" si="125"/>
        <v>-185.34441273975023</v>
      </c>
      <c r="AB135" s="20">
        <f>IF(AND(Dane_kredytowe!F$9&lt;B135,SUM(AB$5:AB134)&lt;P134),1," ")</f>
        <v>1</v>
      </c>
      <c r="AD135" s="75">
        <f>IF(OR(B135&lt;Dane_kredytowe!F$15,Dane_kredytowe!F$15=""),-F135+S135,0)</f>
        <v>0</v>
      </c>
      <c r="AE135" s="75">
        <f t="shared" si="135"/>
        <v>409.21467507052301</v>
      </c>
      <c r="AG135" s="22">
        <f>Dane_kredytowe!F$17-SUM(AI$5:AI134)+SUM(W$42:W135)-SUM(X$42:X135)</f>
        <v>80864.42</v>
      </c>
      <c r="AH135" s="22">
        <f t="shared" si="136"/>
        <v>209.57</v>
      </c>
      <c r="AI135" s="22">
        <f t="shared" si="137"/>
        <v>264.26</v>
      </c>
      <c r="AJ135" s="22">
        <f t="shared" si="123"/>
        <v>473.83</v>
      </c>
      <c r="AK135" s="22">
        <f t="shared" si="138"/>
        <v>1674.48</v>
      </c>
      <c r="AL135" s="22">
        <f>Dane_kredytowe!F$8-SUM(AN$5:AN134)+SUM(R$42:R134)-SUM(S$42:S135)</f>
        <v>255000.17999999993</v>
      </c>
      <c r="AM135" s="22">
        <f t="shared" si="139"/>
        <v>660.88</v>
      </c>
      <c r="AN135" s="22">
        <f t="shared" si="140"/>
        <v>833.33</v>
      </c>
      <c r="AO135" s="22">
        <f t="shared" si="117"/>
        <v>1494.21</v>
      </c>
      <c r="AP135" s="22">
        <f t="shared" si="118"/>
        <v>180.26999999999998</v>
      </c>
      <c r="AR135" s="87">
        <f t="shared" si="141"/>
        <v>41214</v>
      </c>
      <c r="AS135" s="23">
        <f>AS$5+SUM(AV$5:AV134)-SUM(X$5:X135)+SUM(W$5:W135)</f>
        <v>126261.22195867785</v>
      </c>
      <c r="AT135" s="22">
        <f t="shared" si="142"/>
        <v>-327.22700024290674</v>
      </c>
      <c r="AU135" s="22">
        <f>IF(AB135=1,IF(Q135="tak",AT135,PMT(M135/12,P135+1-SUM(AB$5:AB135),AS135)),0)</f>
        <v>-598.14148241294379</v>
      </c>
      <c r="AV135" s="22">
        <f t="shared" si="119"/>
        <v>-270.91448217003705</v>
      </c>
      <c r="AW135" s="22">
        <f t="shared" si="143"/>
        <v>-2052.2234261588101</v>
      </c>
      <c r="AY135" s="23">
        <f>AY$5+SUM(BA$5:BA134)+SUM(W$5:W134)-SUM(X$5:X134)</f>
        <v>118197.69143784183</v>
      </c>
      <c r="AZ135" s="23">
        <f t="shared" si="144"/>
        <v>-327.22700024290674</v>
      </c>
      <c r="BA135" s="23">
        <f t="shared" si="145"/>
        <v>-386.27</v>
      </c>
      <c r="BB135" s="23">
        <f t="shared" si="124"/>
        <v>-713.49700024290678</v>
      </c>
      <c r="BC135" s="23">
        <f t="shared" si="146"/>
        <v>-2448.0082078334131</v>
      </c>
      <c r="BE135" s="88">
        <f t="shared" si="147"/>
        <v>4.6199999999999998E-2</v>
      </c>
      <c r="BF135" s="89">
        <f>BE135+Dane_kredytowe!F$12</f>
        <v>7.619999999999999E-2</v>
      </c>
      <c r="BG135" s="23">
        <f>BG$5+SUM(BH$5:BH134)+SUM(R$5:R134)-SUM(S$5:S134)</f>
        <v>286234.19482133084</v>
      </c>
      <c r="BH135" s="22">
        <f t="shared" si="126"/>
        <v>-306.11451242071848</v>
      </c>
      <c r="BI135" s="22">
        <f t="shared" si="121"/>
        <v>-1817.5871371154506</v>
      </c>
      <c r="BJ135" s="22">
        <f>IF(U135&lt;0,PMT(BF135/12,Dane_kredytowe!F$13-SUM(AB$5:AB135)+1,BG135),0)</f>
        <v>-2123.701649536169</v>
      </c>
      <c r="BL135" s="23">
        <f>BL$5+SUM(BN$5:BN134)+SUM(R$5:R134)-SUM(S$5:S134)</f>
        <v>255000</v>
      </c>
      <c r="BM135" s="23">
        <f t="shared" si="129"/>
        <v>-1619.2499999999998</v>
      </c>
      <c r="BN135" s="23">
        <f t="shared" si="148"/>
        <v>-833.33333333333337</v>
      </c>
      <c r="BO135" s="23">
        <f t="shared" si="130"/>
        <v>-2452.583333333333</v>
      </c>
      <c r="BQ135" s="89">
        <f t="shared" si="149"/>
        <v>6.2899999999999998E-2</v>
      </c>
      <c r="BR135" s="23">
        <f>BR$5+SUM(BS$5:BS134)+SUM(R$5:R134)-SUM(S$5:S134)+SUM(BV$5:BV134)</f>
        <v>318741.22375669738</v>
      </c>
      <c r="BS135" s="22">
        <f t="shared" ref="BS135:BS198" si="163">IF(BU135&lt;0,BU135-BT135,0)</f>
        <v>-422.77309896217753</v>
      </c>
      <c r="BT135" s="22">
        <f t="shared" ref="BT135:BT198" si="164">IF(BU135&lt;0,-BR135*BQ135/12,0)</f>
        <v>-1670.7352478580221</v>
      </c>
      <c r="BU135" s="22">
        <f>IF(U135&lt;0,PMT(BQ135/12,Dane_kredytowe!F$13-SUM(AB$5:AB135)+1,BR135),0)</f>
        <v>-2093.5083468201997</v>
      </c>
      <c r="BV135" s="22">
        <f t="shared" si="157"/>
        <v>647.37233014822618</v>
      </c>
      <c r="BX135" s="23">
        <f>BX$5+SUM(BZ$5:BZ134)+SUM(R$5:R134)-SUM(S$5:S134)+SUM(CB$5,CB134)</f>
        <v>255643.89448701413</v>
      </c>
      <c r="BY135" s="22">
        <f t="shared" si="150"/>
        <v>-1340.0000802694324</v>
      </c>
      <c r="BZ135" s="22">
        <f t="shared" si="151"/>
        <v>-835.43756368305276</v>
      </c>
      <c r="CA135" s="22">
        <f t="shared" ref="CA135:CA198" si="165">BZ135+BY135</f>
        <v>-2175.4376439524849</v>
      </c>
      <c r="CB135" s="22">
        <f t="shared" ref="CB135:CB198" si="166">$F135-CA135</f>
        <v>729.30162728051141</v>
      </c>
      <c r="CD135" s="22">
        <f>CD$5+SUM(CE$5:CE134)+SUM(R$5:R134)-SUM(S$5:S134)-SUM(CF$5:CF134)</f>
        <v>309615.82353903283</v>
      </c>
      <c r="CE135" s="22">
        <f t="shared" si="158"/>
        <v>1340.0000802694324</v>
      </c>
      <c r="CF135" s="22">
        <f t="shared" si="152"/>
        <v>1446.1360166719735</v>
      </c>
      <c r="CG135" s="22">
        <f t="shared" si="159"/>
        <v>106.13593640254112</v>
      </c>
      <c r="CI135" s="89">
        <f t="shared" si="153"/>
        <v>0.46989999999999998</v>
      </c>
      <c r="CJ135" s="22">
        <f t="shared" si="154"/>
        <v>-679.54</v>
      </c>
      <c r="CK135" s="15">
        <f t="shared" si="160"/>
        <v>0</v>
      </c>
      <c r="CM135" s="22">
        <f t="shared" si="161"/>
        <v>-72767.654752490038</v>
      </c>
      <c r="CN135" s="15">
        <f t="shared" ref="CN135:CN198" si="167">CM135*BE135/12</f>
        <v>-280.15547079708665</v>
      </c>
    </row>
    <row r="136" spans="1:92">
      <c r="A136" s="25"/>
      <c r="B136" s="80">
        <v>41244</v>
      </c>
      <c r="C136" s="81">
        <f t="shared" si="131"/>
        <v>3.3871000000000002</v>
      </c>
      <c r="D136" s="82">
        <f t="shared" si="162"/>
        <v>3.4887130000000002</v>
      </c>
      <c r="E136" s="73">
        <f t="shared" si="115"/>
        <v>-409.21467507052301</v>
      </c>
      <c r="F136" s="19">
        <f t="shared" si="127"/>
        <v>-1427.6325567093097</v>
      </c>
      <c r="G136" s="19">
        <f t="shared" si="116"/>
        <v>-1290.4304341576849</v>
      </c>
      <c r="H136" s="19">
        <f t="shared" si="128"/>
        <v>137.20212255162483</v>
      </c>
      <c r="I136" s="62"/>
      <c r="J136" s="15" t="str">
        <f t="shared" si="114"/>
        <v xml:space="preserve"> </v>
      </c>
      <c r="K136" s="15">
        <f>IF(B136&lt;=Dane_kredytowe!F$9,0,K135+1)</f>
        <v>56</v>
      </c>
      <c r="L136" s="83">
        <f t="shared" si="132"/>
        <v>1.1000000000000001E-3</v>
      </c>
      <c r="M136" s="84">
        <f>L136+Dane_kredytowe!F$12</f>
        <v>3.1099999999999999E-2</v>
      </c>
      <c r="N136" s="79">
        <f>MAX(Dane_kredytowe!F$17+SUM(AA$5:AA135)-SUM(X$5:X136)+SUM(W$5:W136),0)</f>
        <v>86195.464203635609</v>
      </c>
      <c r="O136" s="85">
        <f>MAX(Dane_kredytowe!F$8+SUM(V$5:V135)-SUM(S$5:S136)+SUM(R$5:R135),0)</f>
        <v>271811.48934981797</v>
      </c>
      <c r="P136" s="67">
        <f t="shared" si="122"/>
        <v>360</v>
      </c>
      <c r="Q136" s="127" t="str">
        <f>IF(AND(K136&gt;0,K136&lt;=Dane_kredytowe!F$16),"tak","nie")</f>
        <v>nie</v>
      </c>
      <c r="R136" s="69"/>
      <c r="S136" s="86">
        <f>IF(Dane_kredytowe!F$19=B136,O135+V135,_xlfn.XLOOKUP(B136,Dane_kredytowe!M$9:M$18,Dane_kredytowe!N$9:N$18,0))</f>
        <v>0</v>
      </c>
      <c r="T136" s="71">
        <f t="shared" si="133"/>
        <v>-704.44477656494485</v>
      </c>
      <c r="U136" s="72">
        <f>IF(Q136="tak",T136,IF(P136-SUM(AB$5:AB136)+1&gt;0,IF(Dane_kredytowe!F$9&lt;B136,IF(SUM(AB$5:AB136)-Dane_kredytowe!F$16+1&gt;0,PMT(M136/12,P136+1-SUM(AB$5:AB136),O136),T136),0),0))</f>
        <v>-1290.4304341576849</v>
      </c>
      <c r="V136" s="72">
        <f t="shared" si="155"/>
        <v>-585.98565759274004</v>
      </c>
      <c r="W136" s="19" t="str">
        <f t="shared" si="156"/>
        <v xml:space="preserve"> </v>
      </c>
      <c r="X136" s="19">
        <f t="shared" si="113"/>
        <v>0</v>
      </c>
      <c r="Y136" s="73">
        <f t="shared" si="134"/>
        <v>-223.38991139442228</v>
      </c>
      <c r="Z136" s="19">
        <f>IF(P136-SUM(AB$5:AB136)+1&gt;0,IF(Dane_kredytowe!F$9&lt;B136,IF(SUM(AB$5:AB136)-Dane_kredytowe!F$16+1&gt;0,PMT(M136/12,P136+1-SUM(AB$5:AB136),N136),Y136),0),0)</f>
        <v>-409.21467507052301</v>
      </c>
      <c r="AA136" s="19">
        <f t="shared" si="125"/>
        <v>-185.82476367610073</v>
      </c>
      <c r="AB136" s="20">
        <f>IF(AND(Dane_kredytowe!F$9&lt;B136,SUM(AB$5:AB135)&lt;P135),1," ")</f>
        <v>1</v>
      </c>
      <c r="AD136" s="75">
        <f>IF(OR(B136&lt;Dane_kredytowe!F$15,Dane_kredytowe!F$15=""),-F136+S136,0)</f>
        <v>0</v>
      </c>
      <c r="AE136" s="75">
        <f t="shared" si="135"/>
        <v>409.21467507052301</v>
      </c>
      <c r="AG136" s="22">
        <f>Dane_kredytowe!F$17-SUM(AI$5:AI135)+SUM(W$42:W136)-SUM(X$42:X136)</f>
        <v>80600.160000000003</v>
      </c>
      <c r="AH136" s="22">
        <f t="shared" si="136"/>
        <v>208.89</v>
      </c>
      <c r="AI136" s="22">
        <f t="shared" si="137"/>
        <v>264.26</v>
      </c>
      <c r="AJ136" s="22">
        <f t="shared" si="123"/>
        <v>473.15</v>
      </c>
      <c r="AK136" s="22">
        <f t="shared" si="138"/>
        <v>1650.68</v>
      </c>
      <c r="AL136" s="22">
        <f>Dane_kredytowe!F$8-SUM(AN$5:AN135)+SUM(R$42:R135)-SUM(S$42:S136)</f>
        <v>254166.84999999995</v>
      </c>
      <c r="AM136" s="22">
        <f t="shared" si="139"/>
        <v>658.72</v>
      </c>
      <c r="AN136" s="22">
        <f t="shared" si="140"/>
        <v>833.33</v>
      </c>
      <c r="AO136" s="22">
        <f t="shared" si="117"/>
        <v>1492.0500000000002</v>
      </c>
      <c r="AP136" s="22">
        <f t="shared" si="118"/>
        <v>158.62999999999988</v>
      </c>
      <c r="AR136" s="87">
        <f t="shared" si="141"/>
        <v>41244</v>
      </c>
      <c r="AS136" s="23">
        <f>AS$5+SUM(AV$5:AV135)-SUM(X$5:X136)+SUM(W$5:W136)</f>
        <v>125990.30747650782</v>
      </c>
      <c r="AT136" s="22">
        <f t="shared" si="142"/>
        <v>-326.52488020994946</v>
      </c>
      <c r="AU136" s="22">
        <f>IF(AB136=1,IF(Q136="tak",AT136,PMT(M136/12,P136+1-SUM(AB$5:AB136),AS136)),0)</f>
        <v>-598.14148241294379</v>
      </c>
      <c r="AV136" s="22">
        <f t="shared" si="119"/>
        <v>-271.61660220299433</v>
      </c>
      <c r="AW136" s="22">
        <f t="shared" si="143"/>
        <v>-2025.965015080882</v>
      </c>
      <c r="AY136" s="23">
        <f>AY$5+SUM(BA$5:BA135)+SUM(W$5:W135)-SUM(X$5:X135)</f>
        <v>117811.42143784183</v>
      </c>
      <c r="AZ136" s="23">
        <f t="shared" si="144"/>
        <v>-326.52488020994946</v>
      </c>
      <c r="BA136" s="23">
        <f t="shared" si="145"/>
        <v>-386.27</v>
      </c>
      <c r="BB136" s="23">
        <f t="shared" si="124"/>
        <v>-712.7948802099495</v>
      </c>
      <c r="BC136" s="23">
        <f t="shared" si="146"/>
        <v>-2414.3075387591202</v>
      </c>
      <c r="BE136" s="88">
        <f t="shared" si="147"/>
        <v>4.2599999999999999E-2</v>
      </c>
      <c r="BF136" s="89">
        <f>BE136+Dane_kredytowe!F$12</f>
        <v>7.2599999999999998E-2</v>
      </c>
      <c r="BG136" s="23">
        <f>BG$5+SUM(BH$5:BH135)+SUM(R$5:R135)-SUM(S$5:S135)</f>
        <v>285928.08030891011</v>
      </c>
      <c r="BH136" s="22">
        <f t="shared" si="126"/>
        <v>-326.72310667383567</v>
      </c>
      <c r="BI136" s="22">
        <f t="shared" si="121"/>
        <v>-1729.864885868906</v>
      </c>
      <c r="BJ136" s="22">
        <f>IF(U136&lt;0,PMT(BF136/12,Dane_kredytowe!F$13-SUM(AB$5:AB136)+1,BG136),0)</f>
        <v>-2056.5879925427416</v>
      </c>
      <c r="BL136" s="23">
        <f>BL$5+SUM(BN$5:BN135)+SUM(R$5:R135)-SUM(S$5:S135)</f>
        <v>254166.66666666666</v>
      </c>
      <c r="BM136" s="23">
        <f t="shared" si="129"/>
        <v>-1537.7083333333333</v>
      </c>
      <c r="BN136" s="23">
        <f t="shared" si="148"/>
        <v>-833.33333333333326</v>
      </c>
      <c r="BO136" s="23">
        <f t="shared" si="130"/>
        <v>-2371.0416666666665</v>
      </c>
      <c r="BQ136" s="89">
        <f t="shared" si="149"/>
        <v>5.9299999999999999E-2</v>
      </c>
      <c r="BR136" s="23">
        <f>BR$5+SUM(BS$5:BS135)+SUM(R$5:R135)-SUM(S$5:S135)+SUM(BV$5:BV135)</f>
        <v>318965.82298788347</v>
      </c>
      <c r="BS136" s="22">
        <f t="shared" si="163"/>
        <v>-450.68587137002919</v>
      </c>
      <c r="BT136" s="22">
        <f t="shared" si="164"/>
        <v>-1576.222775265124</v>
      </c>
      <c r="BU136" s="22">
        <f>IF(U136&lt;0,PMT(BQ136/12,Dane_kredytowe!F$13-SUM(AB$5:AB136)+1,BR136),0)</f>
        <v>-2026.9086466351532</v>
      </c>
      <c r="BV136" s="22">
        <f t="shared" si="157"/>
        <v>599.27608992584351</v>
      </c>
      <c r="BX136" s="23">
        <f>BX$5+SUM(BZ$5:BZ135)+SUM(R$5:R135)-SUM(S$5:S135)+SUM(CB$5,CB135)</f>
        <v>254746.57942858306</v>
      </c>
      <c r="BY136" s="22">
        <f t="shared" si="150"/>
        <v>-1258.8726800095812</v>
      </c>
      <c r="BZ136" s="22">
        <f t="shared" si="151"/>
        <v>-835.23468665109203</v>
      </c>
      <c r="CA136" s="22">
        <f t="shared" si="165"/>
        <v>-2094.1073666606735</v>
      </c>
      <c r="CB136" s="22">
        <f t="shared" si="166"/>
        <v>666.4748099513638</v>
      </c>
      <c r="CD136" s="22">
        <f>CD$5+SUM(CE$5:CE135)+SUM(R$5:R135)-SUM(S$5:S135)-SUM(CF$5:CF135)</f>
        <v>309509.68760263029</v>
      </c>
      <c r="CE136" s="22">
        <f t="shared" si="158"/>
        <v>1258.8726800095812</v>
      </c>
      <c r="CF136" s="22">
        <f t="shared" si="152"/>
        <v>1427.6325567093097</v>
      </c>
      <c r="CG136" s="22">
        <f t="shared" si="159"/>
        <v>168.75987669972847</v>
      </c>
      <c r="CI136" s="89">
        <f t="shared" si="153"/>
        <v>0.46839999999999998</v>
      </c>
      <c r="CJ136" s="22">
        <f t="shared" si="154"/>
        <v>-668.7</v>
      </c>
      <c r="CK136" s="15">
        <f t="shared" si="160"/>
        <v>0</v>
      </c>
      <c r="CM136" s="22">
        <f t="shared" si="161"/>
        <v>-74195.287309199353</v>
      </c>
      <c r="CN136" s="15">
        <f t="shared" si="167"/>
        <v>-263.3932699476577</v>
      </c>
    </row>
    <row r="137" spans="1:92">
      <c r="A137" s="25">
        <v>2013</v>
      </c>
      <c r="B137" s="80">
        <v>41275</v>
      </c>
      <c r="C137" s="81">
        <f t="shared" si="131"/>
        <v>3.3679000000000001</v>
      </c>
      <c r="D137" s="82">
        <f t="shared" si="162"/>
        <v>3.4689370000000004</v>
      </c>
      <c r="E137" s="73">
        <f t="shared" si="115"/>
        <v>-404.71296995664613</v>
      </c>
      <c r="F137" s="19">
        <f t="shared" si="127"/>
        <v>-1403.9237958624983</v>
      </c>
      <c r="G137" s="19">
        <f t="shared" si="116"/>
        <v>-1276.2346155850762</v>
      </c>
      <c r="H137" s="19">
        <f t="shared" si="128"/>
        <v>127.68918027742211</v>
      </c>
      <c r="I137" s="62"/>
      <c r="J137" s="15" t="str">
        <f t="shared" ref="J137:J173" si="168">IF(H137&lt;0,"Ze względu na spadek kursu CHF, rata jest korzystniejsza niż bez klauzuli indeksacyjnej"," ")</f>
        <v xml:space="preserve"> </v>
      </c>
      <c r="K137" s="15">
        <f>IF(B137&lt;=Dane_kredytowe!F$9,0,K136+1)</f>
        <v>57</v>
      </c>
      <c r="L137" s="83">
        <f t="shared" si="132"/>
        <v>1E-4</v>
      </c>
      <c r="M137" s="84">
        <f>L137+Dane_kredytowe!F$12</f>
        <v>3.0099999999999998E-2</v>
      </c>
      <c r="N137" s="79">
        <f>MAX(Dane_kredytowe!F$17+SUM(AA$5:AA136)-SUM(X$5:X137)+SUM(W$5:W137),0)</f>
        <v>86009.639439959516</v>
      </c>
      <c r="O137" s="85">
        <f>MAX(Dane_kredytowe!F$8+SUM(V$5:V136)-SUM(S$5:S137)+SUM(R$5:R136),0)</f>
        <v>271225.5036922252</v>
      </c>
      <c r="P137" s="67">
        <f>P136</f>
        <v>360</v>
      </c>
      <c r="Q137" s="127" t="str">
        <f>IF(AND(K137&gt;0,K137&lt;=Dane_kredytowe!F$16),"tak","nie")</f>
        <v>nie</v>
      </c>
      <c r="R137" s="69"/>
      <c r="S137" s="86">
        <f>IF(Dane_kredytowe!F$19=B137,O136+V136,_xlfn.XLOOKUP(B137,Dane_kredytowe!M$9:M$18,Dane_kredytowe!N$9:N$18,0))</f>
        <v>0</v>
      </c>
      <c r="T137" s="71">
        <f t="shared" si="133"/>
        <v>-680.32397176133156</v>
      </c>
      <c r="U137" s="72">
        <f>IF(Q137="tak",T137,IF(P137-SUM(AB$5:AB137)+1&gt;0,IF(Dane_kredytowe!F$9&lt;B137,IF(SUM(AB$5:AB137)-Dane_kredytowe!F$16+1&gt;0,PMT(M137/12,P137+1-SUM(AB$5:AB137),O137),T137),0),0))</f>
        <v>-1276.2346155850762</v>
      </c>
      <c r="V137" s="72">
        <f t="shared" si="155"/>
        <v>-595.91064382374464</v>
      </c>
      <c r="W137" s="19" t="str">
        <f t="shared" si="156"/>
        <v xml:space="preserve"> </v>
      </c>
      <c r="X137" s="19">
        <f t="shared" si="113"/>
        <v>0</v>
      </c>
      <c r="Y137" s="73">
        <f t="shared" si="134"/>
        <v>-215.74084559523178</v>
      </c>
      <c r="Z137" s="19">
        <f>IF(P137-SUM(AB$5:AB137)+1&gt;0,IF(Dane_kredytowe!F$9&lt;B137,IF(SUM(AB$5:AB137)-Dane_kredytowe!F$16+1&gt;0,PMT(M137/12,P137+1-SUM(AB$5:AB137),N137),Y137),0),0)</f>
        <v>-404.71296995664613</v>
      </c>
      <c r="AA137" s="19">
        <f t="shared" si="125"/>
        <v>-188.97212436141436</v>
      </c>
      <c r="AB137" s="20">
        <f>IF(AND(Dane_kredytowe!F$9&lt;B137,SUM(AB$5:AB136)&lt;P136),1," ")</f>
        <v>1</v>
      </c>
      <c r="AD137" s="75">
        <f>IF(OR(B137&lt;Dane_kredytowe!F$15,Dane_kredytowe!F$15=""),-F137+S137,0)</f>
        <v>0</v>
      </c>
      <c r="AE137" s="75">
        <f t="shared" si="135"/>
        <v>404.71296995664613</v>
      </c>
      <c r="AG137" s="22">
        <f>Dane_kredytowe!F$17-SUM(AI$5:AI136)+SUM(W$42:W137)-SUM(X$42:X137)</f>
        <v>80335.899999999994</v>
      </c>
      <c r="AH137" s="22">
        <f t="shared" si="136"/>
        <v>201.51</v>
      </c>
      <c r="AI137" s="22">
        <f t="shared" si="137"/>
        <v>264.26</v>
      </c>
      <c r="AJ137" s="22">
        <f t="shared" si="123"/>
        <v>465.77</v>
      </c>
      <c r="AK137" s="22">
        <f t="shared" si="138"/>
        <v>1615.73</v>
      </c>
      <c r="AL137" s="22">
        <f>Dane_kredytowe!F$8-SUM(AN$5:AN136)+SUM(R$42:R136)-SUM(S$42:S137)</f>
        <v>253333.51999999993</v>
      </c>
      <c r="AM137" s="22">
        <f t="shared" si="139"/>
        <v>635.44000000000005</v>
      </c>
      <c r="AN137" s="22">
        <f t="shared" si="140"/>
        <v>833.33</v>
      </c>
      <c r="AO137" s="22">
        <f t="shared" si="117"/>
        <v>1468.77</v>
      </c>
      <c r="AP137" s="22">
        <f t="shared" si="118"/>
        <v>146.96000000000004</v>
      </c>
      <c r="AR137" s="87">
        <f t="shared" si="141"/>
        <v>41275</v>
      </c>
      <c r="AS137" s="23">
        <f>AS$5+SUM(AV$5:AV136)-SUM(X$5:X137)+SUM(W$5:W137)</f>
        <v>125718.69087430483</v>
      </c>
      <c r="AT137" s="22">
        <f t="shared" si="142"/>
        <v>-315.34438294304795</v>
      </c>
      <c r="AU137" s="22">
        <f>IF(AB137=1,IF(Q137="tak",AT137,PMT(M137/12,P137+1-SUM(AB$5:AB137),AS137)),0)</f>
        <v>-591.56142374389378</v>
      </c>
      <c r="AV137" s="22">
        <f t="shared" si="119"/>
        <v>-276.21704080084584</v>
      </c>
      <c r="AW137" s="22">
        <f t="shared" si="143"/>
        <v>-1992.31971902706</v>
      </c>
      <c r="AY137" s="23">
        <f>AY$5+SUM(BA$5:BA136)+SUM(W$5:W136)-SUM(X$5:X136)</f>
        <v>117425.15143784182</v>
      </c>
      <c r="AZ137" s="23">
        <f t="shared" si="144"/>
        <v>-315.34438294304795</v>
      </c>
      <c r="BA137" s="23">
        <f t="shared" si="145"/>
        <v>-386.27</v>
      </c>
      <c r="BB137" s="23">
        <f t="shared" si="124"/>
        <v>-701.61438294304799</v>
      </c>
      <c r="BC137" s="23">
        <f t="shared" si="146"/>
        <v>-2362.9670803138915</v>
      </c>
      <c r="BE137" s="88">
        <f t="shared" si="147"/>
        <v>4.0300000000000002E-2</v>
      </c>
      <c r="BF137" s="89">
        <f>BE137+Dane_kredytowe!F$12</f>
        <v>7.0300000000000001E-2</v>
      </c>
      <c r="BG137" s="23">
        <f>BG$5+SUM(BH$5:BH136)+SUM(R$5:R136)-SUM(S$5:S136)</f>
        <v>285601.35720223631</v>
      </c>
      <c r="BH137" s="22">
        <f t="shared" si="126"/>
        <v>-341.13635300601391</v>
      </c>
      <c r="BI137" s="22">
        <f t="shared" si="121"/>
        <v>-1673.147950943101</v>
      </c>
      <c r="BJ137" s="22">
        <f>IF(U137&lt;0,PMT(BF137/12,Dane_kredytowe!F$13-SUM(AB$5:AB137)+1,BG137),0)</f>
        <v>-2014.2843039491149</v>
      </c>
      <c r="BL137" s="23">
        <f>BL$5+SUM(BN$5:BN136)+SUM(R$5:R136)-SUM(S$5:S136)</f>
        <v>253333.33333333331</v>
      </c>
      <c r="BM137" s="23">
        <f t="shared" si="129"/>
        <v>-1484.1111111111111</v>
      </c>
      <c r="BN137" s="23">
        <f t="shared" si="148"/>
        <v>-833.33333333333326</v>
      </c>
      <c r="BO137" s="23">
        <f t="shared" si="130"/>
        <v>-2317.4444444444443</v>
      </c>
      <c r="BQ137" s="89">
        <f t="shared" si="149"/>
        <v>5.7000000000000002E-2</v>
      </c>
      <c r="BR137" s="23">
        <f>BR$5+SUM(BS$5:BS136)+SUM(R$5:R136)-SUM(S$5:S136)+SUM(BV$5:BV136)</f>
        <v>319114.41320643929</v>
      </c>
      <c r="BS137" s="22">
        <f t="shared" si="163"/>
        <v>-470.28323540781639</v>
      </c>
      <c r="BT137" s="22">
        <f t="shared" si="164"/>
        <v>-1515.7934627305867</v>
      </c>
      <c r="BU137" s="22">
        <f>IF(U137&lt;0,PMT(BQ137/12,Dane_kredytowe!F$13-SUM(AB$5:AB137)+1,BR137),0)</f>
        <v>-1986.0766981384031</v>
      </c>
      <c r="BV137" s="22">
        <f t="shared" si="157"/>
        <v>582.15290227590481</v>
      </c>
      <c r="BX137" s="23">
        <f>BX$5+SUM(BZ$5:BZ136)+SUM(R$5:R136)-SUM(S$5:S136)+SUM(CB$5,CB136)</f>
        <v>253848.51792460281</v>
      </c>
      <c r="BY137" s="22">
        <f t="shared" si="150"/>
        <v>-1205.7804601418634</v>
      </c>
      <c r="BZ137" s="22">
        <f t="shared" si="151"/>
        <v>-835.02801948882507</v>
      </c>
      <c r="CA137" s="22">
        <f t="shared" si="165"/>
        <v>-2040.8084796306885</v>
      </c>
      <c r="CB137" s="22">
        <f t="shared" si="166"/>
        <v>636.88468376819014</v>
      </c>
      <c r="CD137" s="22">
        <f>CD$5+SUM(CE$5:CE136)+SUM(R$5:R136)-SUM(S$5:S136)-SUM(CF$5:CF136)</f>
        <v>309340.92772593058</v>
      </c>
      <c r="CE137" s="22">
        <f t="shared" si="158"/>
        <v>1205.7804601418634</v>
      </c>
      <c r="CF137" s="22">
        <f t="shared" si="152"/>
        <v>1403.9237958624983</v>
      </c>
      <c r="CG137" s="22">
        <f t="shared" si="159"/>
        <v>198.14333572063492</v>
      </c>
      <c r="CI137" s="89">
        <f t="shared" si="153"/>
        <v>0.46689999999999998</v>
      </c>
      <c r="CJ137" s="22">
        <f t="shared" si="154"/>
        <v>-655.49</v>
      </c>
      <c r="CK137" s="15">
        <f t="shared" si="160"/>
        <v>0</v>
      </c>
      <c r="CM137" s="22">
        <f t="shared" si="161"/>
        <v>-75599.211105061855</v>
      </c>
      <c r="CN137" s="15">
        <f t="shared" si="167"/>
        <v>-253.88735062783277</v>
      </c>
    </row>
    <row r="138" spans="1:92">
      <c r="A138" s="25"/>
      <c r="B138" s="80">
        <v>41306</v>
      </c>
      <c r="C138" s="81">
        <f t="shared" si="131"/>
        <v>3.3923999999999999</v>
      </c>
      <c r="D138" s="82">
        <f t="shared" si="162"/>
        <v>3.4941719999999998</v>
      </c>
      <c r="E138" s="73">
        <f t="shared" si="115"/>
        <v>-404.71296995664608</v>
      </c>
      <c r="F138" s="19">
        <f t="shared" si="127"/>
        <v>-1414.1367276593539</v>
      </c>
      <c r="G138" s="19">
        <f t="shared" si="116"/>
        <v>-1276.2346155850762</v>
      </c>
      <c r="H138" s="19">
        <f t="shared" si="128"/>
        <v>137.90211207427774</v>
      </c>
      <c r="I138" s="62"/>
      <c r="J138" s="15" t="str">
        <f t="shared" si="168"/>
        <v xml:space="preserve"> </v>
      </c>
      <c r="K138" s="15">
        <f>IF(B138&lt;=Dane_kredytowe!F$9,0,K137+1)</f>
        <v>58</v>
      </c>
      <c r="L138" s="83">
        <f t="shared" si="132"/>
        <v>1E-4</v>
      </c>
      <c r="M138" s="84">
        <f>L138+Dane_kredytowe!F$12</f>
        <v>3.0099999999999998E-2</v>
      </c>
      <c r="N138" s="79">
        <f>MAX(Dane_kredytowe!F$17+SUM(AA$5:AA137)-SUM(X$5:X138)+SUM(W$5:W138),0)</f>
        <v>85820.667315598097</v>
      </c>
      <c r="O138" s="85">
        <f>MAX(Dane_kredytowe!F$8+SUM(V$5:V137)-SUM(S$5:S138)+SUM(R$5:R137),0)</f>
        <v>270629.59304840147</v>
      </c>
      <c r="P138" s="67">
        <f t="shared" si="122"/>
        <v>360</v>
      </c>
      <c r="Q138" s="127" t="str">
        <f>IF(AND(K138&gt;0,K138&lt;=Dane_kredytowe!F$16),"tak","nie")</f>
        <v>nie</v>
      </c>
      <c r="R138" s="69"/>
      <c r="S138" s="86">
        <f>IF(Dane_kredytowe!F$19=B138,O137+V137,_xlfn.XLOOKUP(B138,Dane_kredytowe!M$9:M$18,Dane_kredytowe!N$9:N$18,0))</f>
        <v>0</v>
      </c>
      <c r="T138" s="71">
        <f t="shared" si="133"/>
        <v>-678.82922922974024</v>
      </c>
      <c r="U138" s="72">
        <f>IF(Q138="tak",T138,IF(P138-SUM(AB$5:AB138)+1&gt;0,IF(Dane_kredytowe!F$9&lt;B138,IF(SUM(AB$5:AB138)-Dane_kredytowe!F$16+1&gt;0,PMT(M138/12,P138+1-SUM(AB$5:AB138),O138),T138),0),0))</f>
        <v>-1276.2346155850762</v>
      </c>
      <c r="V138" s="72">
        <f t="shared" si="155"/>
        <v>-597.40538635533596</v>
      </c>
      <c r="W138" s="19" t="str">
        <f t="shared" si="156"/>
        <v xml:space="preserve"> </v>
      </c>
      <c r="X138" s="19">
        <f t="shared" si="113"/>
        <v>0</v>
      </c>
      <c r="Y138" s="73">
        <f t="shared" si="134"/>
        <v>-215.26684051662519</v>
      </c>
      <c r="Z138" s="19">
        <f>IF(P138-SUM(AB$5:AB138)+1&gt;0,IF(Dane_kredytowe!F$9&lt;B138,IF(SUM(AB$5:AB138)-Dane_kredytowe!F$16+1&gt;0,PMT(M138/12,P138+1-SUM(AB$5:AB138),N138),Y138),0),0)</f>
        <v>-404.71296995664608</v>
      </c>
      <c r="AA138" s="19">
        <f t="shared" si="125"/>
        <v>-189.44612944002088</v>
      </c>
      <c r="AB138" s="20">
        <f>IF(AND(Dane_kredytowe!F$9&lt;B138,SUM(AB$5:AB137)&lt;P137),1," ")</f>
        <v>1</v>
      </c>
      <c r="AD138" s="75">
        <f>IF(OR(B138&lt;Dane_kredytowe!F$15,Dane_kredytowe!F$15=""),-F138+S138,0)</f>
        <v>0</v>
      </c>
      <c r="AE138" s="75">
        <f t="shared" si="135"/>
        <v>404.71296995664608</v>
      </c>
      <c r="AG138" s="22">
        <f>Dane_kredytowe!F$17-SUM(AI$5:AI137)+SUM(W$42:W138)-SUM(X$42:X138)</f>
        <v>80071.64</v>
      </c>
      <c r="AH138" s="22">
        <f t="shared" si="136"/>
        <v>200.85</v>
      </c>
      <c r="AI138" s="22">
        <f t="shared" si="137"/>
        <v>264.26</v>
      </c>
      <c r="AJ138" s="22">
        <f t="shared" si="123"/>
        <v>465.11</v>
      </c>
      <c r="AK138" s="22">
        <f t="shared" si="138"/>
        <v>1625.17</v>
      </c>
      <c r="AL138" s="22">
        <f>Dane_kredytowe!F$8-SUM(AN$5:AN137)+SUM(R$42:R137)-SUM(S$42:S138)</f>
        <v>252500.18999999994</v>
      </c>
      <c r="AM138" s="22">
        <f t="shared" si="139"/>
        <v>633.35</v>
      </c>
      <c r="AN138" s="22">
        <f t="shared" si="140"/>
        <v>833.33</v>
      </c>
      <c r="AO138" s="22">
        <f t="shared" si="117"/>
        <v>1466.68</v>
      </c>
      <c r="AP138" s="22">
        <f t="shared" si="118"/>
        <v>158.49</v>
      </c>
      <c r="AR138" s="87">
        <f t="shared" si="141"/>
        <v>41306</v>
      </c>
      <c r="AS138" s="23">
        <f>AS$5+SUM(AV$5:AV137)-SUM(X$5:X138)+SUM(W$5:W138)</f>
        <v>125442.47383350397</v>
      </c>
      <c r="AT138" s="22">
        <f t="shared" si="142"/>
        <v>-314.65153853237246</v>
      </c>
      <c r="AU138" s="22">
        <f>IF(AB138=1,IF(Q138="tak",AT138,PMT(M138/12,P138+1-SUM(AB$5:AB138),AS138)),0)</f>
        <v>-591.56142374389367</v>
      </c>
      <c r="AV138" s="22">
        <f t="shared" si="119"/>
        <v>-276.90988521152121</v>
      </c>
      <c r="AW138" s="22">
        <f t="shared" si="143"/>
        <v>-2006.8129739087849</v>
      </c>
      <c r="AY138" s="23">
        <f>AY$5+SUM(BA$5:BA137)+SUM(W$5:W137)-SUM(X$5:X137)</f>
        <v>117038.88143784183</v>
      </c>
      <c r="AZ138" s="23">
        <f t="shared" si="144"/>
        <v>-314.65153853237246</v>
      </c>
      <c r="BA138" s="23">
        <f t="shared" si="145"/>
        <v>-386.27</v>
      </c>
      <c r="BB138" s="23">
        <f t="shared" si="124"/>
        <v>-700.92153853237244</v>
      </c>
      <c r="BC138" s="23">
        <f t="shared" si="146"/>
        <v>-2377.80622731722</v>
      </c>
      <c r="BE138" s="88">
        <f t="shared" si="147"/>
        <v>3.7999999999999999E-2</v>
      </c>
      <c r="BF138" s="89">
        <f>BE138+Dane_kredytowe!F$12</f>
        <v>6.8000000000000005E-2</v>
      </c>
      <c r="BG138" s="23">
        <f>BG$5+SUM(BH$5:BH137)+SUM(R$5:R137)-SUM(S$5:S137)</f>
        <v>285260.2208492303</v>
      </c>
      <c r="BH138" s="22">
        <f t="shared" si="126"/>
        <v>-355.98261129755178</v>
      </c>
      <c r="BI138" s="22">
        <f t="shared" si="121"/>
        <v>-1616.474584812305</v>
      </c>
      <c r="BJ138" s="22">
        <f>IF(U138&lt;0,PMT(BF138/12,Dane_kredytowe!F$13-SUM(AB$5:AB138)+1,BG138),0)</f>
        <v>-1972.4571961098568</v>
      </c>
      <c r="BL138" s="23">
        <f>BL$5+SUM(BN$5:BN137)+SUM(R$5:R137)-SUM(S$5:S137)</f>
        <v>252499.99999999997</v>
      </c>
      <c r="BM138" s="23">
        <f t="shared" si="129"/>
        <v>-1430.8333333333333</v>
      </c>
      <c r="BN138" s="23">
        <f t="shared" si="148"/>
        <v>-833.33333333333326</v>
      </c>
      <c r="BO138" s="23">
        <f t="shared" si="130"/>
        <v>-2264.1666666666665</v>
      </c>
      <c r="BQ138" s="89">
        <f t="shared" si="149"/>
        <v>5.4699999999999999E-2</v>
      </c>
      <c r="BR138" s="23">
        <f>BR$5+SUM(BS$5:BS137)+SUM(R$5:R137)-SUM(S$5:S137)+SUM(BV$5:BV137)</f>
        <v>319226.28287330735</v>
      </c>
      <c r="BS138" s="22">
        <f t="shared" si="163"/>
        <v>-490.42410490371958</v>
      </c>
      <c r="BT138" s="22">
        <f t="shared" si="164"/>
        <v>-1455.1398060974925</v>
      </c>
      <c r="BU138" s="22">
        <f>IF(U138&lt;0,PMT(BQ138/12,Dane_kredytowe!F$13-SUM(AB$5:AB138)+1,BR138),0)</f>
        <v>-1945.5639110012121</v>
      </c>
      <c r="BV138" s="22">
        <f t="shared" si="157"/>
        <v>531.42718334185815</v>
      </c>
      <c r="BX138" s="23">
        <f>BX$5+SUM(BZ$5:BZ137)+SUM(R$5:R137)-SUM(S$5:S137)+SUM(CB$5,CB137)</f>
        <v>252983.89977893079</v>
      </c>
      <c r="BY138" s="22">
        <f t="shared" si="150"/>
        <v>-1153.1849431589596</v>
      </c>
      <c r="BZ138" s="22">
        <f t="shared" si="151"/>
        <v>-834.93036230670225</v>
      </c>
      <c r="CA138" s="22">
        <f t="shared" si="165"/>
        <v>-1988.115305465662</v>
      </c>
      <c r="CB138" s="22">
        <f t="shared" si="166"/>
        <v>573.97857780630807</v>
      </c>
      <c r="CD138" s="22">
        <f>CD$5+SUM(CE$5:CE137)+SUM(R$5:R137)-SUM(S$5:S137)-SUM(CF$5:CF137)</f>
        <v>309142.78439020988</v>
      </c>
      <c r="CE138" s="22">
        <f t="shared" si="158"/>
        <v>1153.1849431589596</v>
      </c>
      <c r="CF138" s="22">
        <f t="shared" si="152"/>
        <v>1414.1367276593539</v>
      </c>
      <c r="CG138" s="22">
        <f t="shared" si="159"/>
        <v>260.9517845003943</v>
      </c>
      <c r="CI138" s="89">
        <f t="shared" si="153"/>
        <v>0.46689999999999998</v>
      </c>
      <c r="CJ138" s="22">
        <f t="shared" si="154"/>
        <v>-660.26</v>
      </c>
      <c r="CK138" s="15">
        <f t="shared" si="160"/>
        <v>0</v>
      </c>
      <c r="CM138" s="22">
        <f t="shared" si="161"/>
        <v>-77013.347832721207</v>
      </c>
      <c r="CN138" s="15">
        <f t="shared" si="167"/>
        <v>-243.87560147028384</v>
      </c>
    </row>
    <row r="139" spans="1:92">
      <c r="A139" s="25"/>
      <c r="B139" s="80">
        <v>41334</v>
      </c>
      <c r="C139" s="81">
        <f t="shared" si="131"/>
        <v>3.3908</v>
      </c>
      <c r="D139" s="82">
        <f t="shared" si="162"/>
        <v>3.492524</v>
      </c>
      <c r="E139" s="73">
        <f t="shared" si="115"/>
        <v>-404.71296995664596</v>
      </c>
      <c r="F139" s="19">
        <f t="shared" si="127"/>
        <v>-1413.4697606848649</v>
      </c>
      <c r="G139" s="19">
        <f t="shared" si="116"/>
        <v>-1276.2346155850762</v>
      </c>
      <c r="H139" s="19">
        <f t="shared" si="128"/>
        <v>137.23514509978872</v>
      </c>
      <c r="I139" s="62"/>
      <c r="J139" s="15" t="str">
        <f t="shared" si="168"/>
        <v xml:space="preserve"> </v>
      </c>
      <c r="K139" s="15">
        <f>IF(B139&lt;=Dane_kredytowe!F$9,0,K138+1)</f>
        <v>59</v>
      </c>
      <c r="L139" s="83">
        <f t="shared" si="132"/>
        <v>1E-4</v>
      </c>
      <c r="M139" s="84">
        <f>L139+Dane_kredytowe!F$12</f>
        <v>3.0099999999999998E-2</v>
      </c>
      <c r="N139" s="79">
        <f>MAX(Dane_kredytowe!F$17+SUM(AA$5:AA138)-SUM(X$5:X139)+SUM(W$5:W139),0)</f>
        <v>85631.221186158073</v>
      </c>
      <c r="O139" s="85">
        <f>MAX(Dane_kredytowe!F$8+SUM(V$5:V138)-SUM(S$5:S139)+SUM(R$5:R138),0)</f>
        <v>270032.18766204617</v>
      </c>
      <c r="P139" s="67">
        <f t="shared" si="122"/>
        <v>360</v>
      </c>
      <c r="Q139" s="127" t="str">
        <f>IF(AND(K139&gt;0,K139&lt;=Dane_kredytowe!F$16),"tak","nie")</f>
        <v>nie</v>
      </c>
      <c r="R139" s="69"/>
      <c r="S139" s="86">
        <f>IF(Dane_kredytowe!F$19=B139,O138+V138,_xlfn.XLOOKUP(B139,Dane_kredytowe!M$9:M$18,Dane_kredytowe!N$9:N$18,0))</f>
        <v>0</v>
      </c>
      <c r="T139" s="71">
        <f t="shared" si="133"/>
        <v>-677.33073738563246</v>
      </c>
      <c r="U139" s="72">
        <f>IF(Q139="tak",T139,IF(P139-SUM(AB$5:AB139)+1&gt;0,IF(Dane_kredytowe!F$9&lt;B139,IF(SUM(AB$5:AB139)-Dane_kredytowe!F$16+1&gt;0,PMT(M139/12,P139+1-SUM(AB$5:AB139),O139),T139),0),0))</f>
        <v>-1276.2346155850762</v>
      </c>
      <c r="V139" s="72">
        <f t="shared" si="155"/>
        <v>-598.90387819944374</v>
      </c>
      <c r="W139" s="19" t="str">
        <f t="shared" si="156"/>
        <v xml:space="preserve"> </v>
      </c>
      <c r="X139" s="19">
        <f t="shared" si="113"/>
        <v>0</v>
      </c>
      <c r="Y139" s="73">
        <f t="shared" si="134"/>
        <v>-214.7916464752798</v>
      </c>
      <c r="Z139" s="19">
        <f>IF(P139-SUM(AB$5:AB139)+1&gt;0,IF(Dane_kredytowe!F$9&lt;B139,IF(SUM(AB$5:AB139)-Dane_kredytowe!F$16+1&gt;0,PMT(M139/12,P139+1-SUM(AB$5:AB139),N139),Y139),0),0)</f>
        <v>-404.71296995664596</v>
      </c>
      <c r="AA139" s="19">
        <f t="shared" si="125"/>
        <v>-189.92132348136616</v>
      </c>
      <c r="AB139" s="20">
        <f>IF(AND(Dane_kredytowe!F$9&lt;B139,SUM(AB$5:AB138)&lt;P138),1," ")</f>
        <v>1</v>
      </c>
      <c r="AD139" s="75">
        <f>IF(OR(B139&lt;Dane_kredytowe!F$15,Dane_kredytowe!F$15=""),-F139+S139,0)</f>
        <v>0</v>
      </c>
      <c r="AE139" s="75">
        <f t="shared" si="135"/>
        <v>404.71296995664596</v>
      </c>
      <c r="AG139" s="22">
        <f>Dane_kredytowe!F$17-SUM(AI$5:AI138)+SUM(W$42:W139)-SUM(X$42:X139)</f>
        <v>79807.37999999999</v>
      </c>
      <c r="AH139" s="22">
        <f t="shared" si="136"/>
        <v>200.18</v>
      </c>
      <c r="AI139" s="22">
        <f t="shared" si="137"/>
        <v>264.26</v>
      </c>
      <c r="AJ139" s="22">
        <f t="shared" si="123"/>
        <v>464.44</v>
      </c>
      <c r="AK139" s="22">
        <f t="shared" si="138"/>
        <v>1622.07</v>
      </c>
      <c r="AL139" s="22">
        <f>Dane_kredytowe!F$8-SUM(AN$5:AN138)+SUM(R$42:R138)-SUM(S$42:S139)</f>
        <v>251666.85999999993</v>
      </c>
      <c r="AM139" s="22">
        <f t="shared" si="139"/>
        <v>631.26</v>
      </c>
      <c r="AN139" s="22">
        <f t="shared" si="140"/>
        <v>833.33</v>
      </c>
      <c r="AO139" s="22">
        <f t="shared" si="117"/>
        <v>1464.5900000000001</v>
      </c>
      <c r="AP139" s="22">
        <f t="shared" si="118"/>
        <v>157.47999999999979</v>
      </c>
      <c r="AR139" s="87">
        <f t="shared" si="141"/>
        <v>41334</v>
      </c>
      <c r="AS139" s="23">
        <f>AS$5+SUM(AV$5:AV138)-SUM(X$5:X139)+SUM(W$5:W139)</f>
        <v>125165.56394829246</v>
      </c>
      <c r="AT139" s="22">
        <f t="shared" si="142"/>
        <v>-313.9569562369669</v>
      </c>
      <c r="AU139" s="22">
        <f>IF(AB139=1,IF(Q139="tak",AT139,PMT(M139/12,P139+1-SUM(AB$5:AB139),AS139)),0)</f>
        <v>-591.56142374389367</v>
      </c>
      <c r="AV139" s="22">
        <f t="shared" si="119"/>
        <v>-277.60446750692677</v>
      </c>
      <c r="AW139" s="22">
        <f t="shared" si="143"/>
        <v>-2005.8664756307946</v>
      </c>
      <c r="AY139" s="23">
        <f>AY$5+SUM(BA$5:BA138)+SUM(W$5:W138)-SUM(X$5:X138)</f>
        <v>116652.61143784183</v>
      </c>
      <c r="AZ139" s="23">
        <f t="shared" si="144"/>
        <v>-313.9569562369669</v>
      </c>
      <c r="BA139" s="23">
        <f t="shared" si="145"/>
        <v>-386.27</v>
      </c>
      <c r="BB139" s="23">
        <f t="shared" si="124"/>
        <v>-700.22695623696688</v>
      </c>
      <c r="BC139" s="23">
        <f t="shared" si="146"/>
        <v>-2374.3295632083073</v>
      </c>
      <c r="BE139" s="88">
        <f t="shared" si="147"/>
        <v>3.4799999999999998E-2</v>
      </c>
      <c r="BF139" s="89">
        <f>BE139+Dane_kredytowe!F$12</f>
        <v>6.4799999999999996E-2</v>
      </c>
      <c r="BG139" s="23">
        <f>BG$5+SUM(BH$5:BH138)+SUM(R$5:R138)-SUM(S$5:S138)</f>
        <v>284904.23823793273</v>
      </c>
      <c r="BH139" s="22">
        <f t="shared" si="126"/>
        <v>-376.56247106762839</v>
      </c>
      <c r="BI139" s="22">
        <f t="shared" si="121"/>
        <v>-1538.4828864848366</v>
      </c>
      <c r="BJ139" s="22">
        <f>IF(U139&lt;0,PMT(BF139/12,Dane_kredytowe!F$13-SUM(AB$5:AB139)+1,BG139),0)</f>
        <v>-1915.045357552465</v>
      </c>
      <c r="BL139" s="23">
        <f>BL$5+SUM(BN$5:BN138)+SUM(R$5:R138)-SUM(S$5:S138)</f>
        <v>251666.66666666663</v>
      </c>
      <c r="BM139" s="23">
        <f t="shared" si="129"/>
        <v>-1358.9999999999998</v>
      </c>
      <c r="BN139" s="23">
        <f t="shared" si="148"/>
        <v>-833.33333333333326</v>
      </c>
      <c r="BO139" s="23">
        <f t="shared" si="130"/>
        <v>-2192.333333333333</v>
      </c>
      <c r="BQ139" s="89">
        <f t="shared" si="149"/>
        <v>5.1499999999999997E-2</v>
      </c>
      <c r="BR139" s="23">
        <f>BR$5+SUM(BS$5:BS138)+SUM(R$5:R138)-SUM(S$5:S138)+SUM(BV$5:BV138)</f>
        <v>319267.28595174552</v>
      </c>
      <c r="BS139" s="22">
        <f t="shared" si="163"/>
        <v>-518.06281954253973</v>
      </c>
      <c r="BT139" s="22">
        <f t="shared" si="164"/>
        <v>-1370.1887688762411</v>
      </c>
      <c r="BU139" s="22">
        <f>IF(U139&lt;0,PMT(BQ139/12,Dane_kredytowe!F$13-SUM(AB$5:AB139)+1,BR139),0)</f>
        <v>-1888.2515884187808</v>
      </c>
      <c r="BV139" s="22">
        <f t="shared" si="157"/>
        <v>474.78182773391586</v>
      </c>
      <c r="BX139" s="23">
        <f>BX$5+SUM(BZ$5:BZ138)+SUM(R$5:R138)-SUM(S$5:S138)+SUM(CB$5,CB138)</f>
        <v>252086.0633106622</v>
      </c>
      <c r="BY139" s="22">
        <f t="shared" si="150"/>
        <v>-1081.8693550415919</v>
      </c>
      <c r="BZ139" s="22">
        <f t="shared" si="151"/>
        <v>-834.72206394259001</v>
      </c>
      <c r="CA139" s="22">
        <f t="shared" si="165"/>
        <v>-1916.5914189841819</v>
      </c>
      <c r="CB139" s="22">
        <f t="shared" si="166"/>
        <v>503.12165829931701</v>
      </c>
      <c r="CD139" s="22">
        <f>CD$5+SUM(CE$5:CE138)+SUM(R$5:R138)-SUM(S$5:S138)-SUM(CF$5:CF138)</f>
        <v>308881.83260570955</v>
      </c>
      <c r="CE139" s="22">
        <f t="shared" si="158"/>
        <v>1081.8693550415919</v>
      </c>
      <c r="CF139" s="22">
        <f t="shared" si="152"/>
        <v>1413.4697606848649</v>
      </c>
      <c r="CG139" s="22">
        <f t="shared" si="159"/>
        <v>331.60040564327301</v>
      </c>
      <c r="CI139" s="89">
        <f t="shared" si="153"/>
        <v>0.46400000000000002</v>
      </c>
      <c r="CJ139" s="22">
        <f t="shared" si="154"/>
        <v>-655.85</v>
      </c>
      <c r="CK139" s="15">
        <f t="shared" si="160"/>
        <v>0</v>
      </c>
      <c r="CM139" s="22">
        <f t="shared" si="161"/>
        <v>-78426.817593406071</v>
      </c>
      <c r="CN139" s="15">
        <f t="shared" si="167"/>
        <v>-227.43777102087759</v>
      </c>
    </row>
    <row r="140" spans="1:92">
      <c r="A140" s="25"/>
      <c r="B140" s="80">
        <v>41365</v>
      </c>
      <c r="C140" s="81">
        <f t="shared" si="131"/>
        <v>3.3946000000000001</v>
      </c>
      <c r="D140" s="82">
        <f t="shared" si="162"/>
        <v>3.4964379999999999</v>
      </c>
      <c r="E140" s="73">
        <f t="shared" si="115"/>
        <v>-404.71296995664596</v>
      </c>
      <c r="F140" s="19">
        <f t="shared" si="127"/>
        <v>-1415.0538072492752</v>
      </c>
      <c r="G140" s="19">
        <f t="shared" si="116"/>
        <v>-1276.2346155850762</v>
      </c>
      <c r="H140" s="19">
        <f t="shared" si="128"/>
        <v>138.81919166419902</v>
      </c>
      <c r="I140" s="62"/>
      <c r="J140" s="15" t="str">
        <f t="shared" si="168"/>
        <v xml:space="preserve"> </v>
      </c>
      <c r="K140" s="15">
        <f>IF(B140&lt;=Dane_kredytowe!F$9,0,K139+1)</f>
        <v>60</v>
      </c>
      <c r="L140" s="83">
        <f t="shared" si="132"/>
        <v>1E-4</v>
      </c>
      <c r="M140" s="84">
        <f>L140+Dane_kredytowe!F$12</f>
        <v>3.0099999999999998E-2</v>
      </c>
      <c r="N140" s="79">
        <f>MAX(Dane_kredytowe!F$17+SUM(AA$5:AA139)-SUM(X$5:X140)+SUM(W$5:W140),0)</f>
        <v>85441.299862676708</v>
      </c>
      <c r="O140" s="85">
        <f>MAX(Dane_kredytowe!F$8+SUM(V$5:V139)-SUM(S$5:S140)+SUM(R$5:R139),0)</f>
        <v>269433.28378384671</v>
      </c>
      <c r="P140" s="67">
        <f t="shared" si="122"/>
        <v>360</v>
      </c>
      <c r="Q140" s="127" t="str">
        <f>IF(AND(K140&gt;0,K140&lt;=Dane_kredytowe!F$16),"tak","nie")</f>
        <v>nie</v>
      </c>
      <c r="R140" s="69"/>
      <c r="S140" s="86">
        <f>IF(Dane_kredytowe!F$19=B140,O139+V139,_xlfn.XLOOKUP(B140,Dane_kredytowe!M$9:M$18,Dane_kredytowe!N$9:N$18,0))</f>
        <v>0</v>
      </c>
      <c r="T140" s="71">
        <f t="shared" si="133"/>
        <v>-675.82848682448218</v>
      </c>
      <c r="U140" s="72">
        <f>IF(Q140="tak",T140,IF(P140-SUM(AB$5:AB140)+1&gt;0,IF(Dane_kredytowe!F$9&lt;B140,IF(SUM(AB$5:AB140)-Dane_kredytowe!F$16+1&gt;0,PMT(M140/12,P140+1-SUM(AB$5:AB140),O140),T140),0),0))</f>
        <v>-1276.2346155850762</v>
      </c>
      <c r="V140" s="72">
        <f t="shared" si="155"/>
        <v>-600.40612876059402</v>
      </c>
      <c r="W140" s="19" t="str">
        <f t="shared" si="156"/>
        <v xml:space="preserve"> </v>
      </c>
      <c r="X140" s="19">
        <f t="shared" si="113"/>
        <v>0</v>
      </c>
      <c r="Y140" s="73">
        <f t="shared" si="134"/>
        <v>-214.31526048888074</v>
      </c>
      <c r="Z140" s="19">
        <f>IF(P140-SUM(AB$5:AB140)+1&gt;0,IF(Dane_kredytowe!F$9&lt;B140,IF(SUM(AB$5:AB140)-Dane_kredytowe!F$16+1&gt;0,PMT(M140/12,P140+1-SUM(AB$5:AB140),N140),Y140),0),0)</f>
        <v>-404.71296995664596</v>
      </c>
      <c r="AA140" s="19">
        <f t="shared" si="125"/>
        <v>-190.39770946776522</v>
      </c>
      <c r="AB140" s="20">
        <f>IF(AND(Dane_kredytowe!F$9&lt;B140,SUM(AB$5:AB139)&lt;P139),1," ")</f>
        <v>1</v>
      </c>
      <c r="AD140" s="75">
        <f>IF(OR(B140&lt;Dane_kredytowe!F$15,Dane_kredytowe!F$15=""),-F140+S140,0)</f>
        <v>0</v>
      </c>
      <c r="AE140" s="75">
        <f t="shared" si="135"/>
        <v>404.71296995664596</v>
      </c>
      <c r="AG140" s="22">
        <f>Dane_kredytowe!F$17-SUM(AI$5:AI139)+SUM(W$42:W140)-SUM(X$42:X140)</f>
        <v>79543.12</v>
      </c>
      <c r="AH140" s="22">
        <f t="shared" si="136"/>
        <v>199.52</v>
      </c>
      <c r="AI140" s="22">
        <f t="shared" si="137"/>
        <v>264.26</v>
      </c>
      <c r="AJ140" s="22">
        <f t="shared" si="123"/>
        <v>463.78</v>
      </c>
      <c r="AK140" s="22">
        <f t="shared" si="138"/>
        <v>1621.58</v>
      </c>
      <c r="AL140" s="22">
        <f>Dane_kredytowe!F$8-SUM(AN$5:AN139)+SUM(R$42:R139)-SUM(S$42:S140)</f>
        <v>250833.52999999994</v>
      </c>
      <c r="AM140" s="22">
        <f t="shared" si="139"/>
        <v>629.16999999999996</v>
      </c>
      <c r="AN140" s="22">
        <f t="shared" si="140"/>
        <v>833.33</v>
      </c>
      <c r="AO140" s="22">
        <f t="shared" si="117"/>
        <v>1462.5</v>
      </c>
      <c r="AP140" s="22">
        <f t="shared" si="118"/>
        <v>159.07999999999993</v>
      </c>
      <c r="AR140" s="87">
        <f t="shared" si="141"/>
        <v>41365</v>
      </c>
      <c r="AS140" s="23">
        <f>AS$5+SUM(AV$5:AV139)-SUM(X$5:X140)+SUM(W$5:W140)</f>
        <v>124887.95948078553</v>
      </c>
      <c r="AT140" s="22">
        <f t="shared" si="142"/>
        <v>-313.26063169763705</v>
      </c>
      <c r="AU140" s="22">
        <f>IF(AB140=1,IF(Q140="tak",AT140,PMT(M140/12,P140+1-SUM(AB$5:AB140),AS140)),0)</f>
        <v>-591.56142374389367</v>
      </c>
      <c r="AV140" s="22">
        <f t="shared" si="119"/>
        <v>-278.30079204625662</v>
      </c>
      <c r="AW140" s="22">
        <f t="shared" si="143"/>
        <v>-2008.1144090410214</v>
      </c>
      <c r="AY140" s="23">
        <f>AY$5+SUM(BA$5:BA139)+SUM(W$5:W139)-SUM(X$5:X139)</f>
        <v>116266.34143784182</v>
      </c>
      <c r="AZ140" s="23">
        <f t="shared" si="144"/>
        <v>-313.26063169763705</v>
      </c>
      <c r="BA140" s="23">
        <f t="shared" si="145"/>
        <v>-386.27</v>
      </c>
      <c r="BB140" s="23">
        <f t="shared" si="124"/>
        <v>-699.53063169763709</v>
      </c>
      <c r="BC140" s="23">
        <f t="shared" si="146"/>
        <v>-2374.6266823607989</v>
      </c>
      <c r="BE140" s="88">
        <f t="shared" si="147"/>
        <v>3.2899999999999999E-2</v>
      </c>
      <c r="BF140" s="89">
        <f>BE140+Dane_kredytowe!F$12</f>
        <v>6.2899999999999998E-2</v>
      </c>
      <c r="BG140" s="23">
        <f>BG$5+SUM(BH$5:BH139)+SUM(R$5:R139)-SUM(S$5:S139)</f>
        <v>284527.67576686508</v>
      </c>
      <c r="BH140" s="22">
        <f t="shared" si="126"/>
        <v>-390.00159969330298</v>
      </c>
      <c r="BI140" s="22">
        <f t="shared" si="121"/>
        <v>-1491.3992338113178</v>
      </c>
      <c r="BJ140" s="22">
        <f>IF(U140&lt;0,PMT(BF140/12,Dane_kredytowe!F$13-SUM(AB$5:AB140)+1,BG140),0)</f>
        <v>-1881.4008335046208</v>
      </c>
      <c r="BL140" s="23">
        <f>BL$5+SUM(BN$5:BN139)+SUM(R$5:R139)-SUM(S$5:S139)</f>
        <v>250833.33333333331</v>
      </c>
      <c r="BM140" s="23">
        <f t="shared" si="129"/>
        <v>-1314.7847222222219</v>
      </c>
      <c r="BN140" s="23">
        <f t="shared" si="148"/>
        <v>-833.33333333333326</v>
      </c>
      <c r="BO140" s="23">
        <f t="shared" si="130"/>
        <v>-2148.1180555555552</v>
      </c>
      <c r="BQ140" s="89">
        <f t="shared" si="149"/>
        <v>4.9599999999999998E-2</v>
      </c>
      <c r="BR140" s="23">
        <f>BR$5+SUM(BS$5:BS139)+SUM(R$5:R139)-SUM(S$5:S139)+SUM(BV$5:BV139)</f>
        <v>319224.00495993689</v>
      </c>
      <c r="BS140" s="22">
        <f t="shared" si="163"/>
        <v>-536.13882689725119</v>
      </c>
      <c r="BT140" s="22">
        <f t="shared" si="164"/>
        <v>-1319.4592205010724</v>
      </c>
      <c r="BU140" s="22">
        <f>IF(U140&lt;0,PMT(BQ140/12,Dane_kredytowe!F$13-SUM(AB$5:AB140)+1,BR140),0)</f>
        <v>-1855.5980473983236</v>
      </c>
      <c r="BV140" s="22">
        <f t="shared" si="157"/>
        <v>440.54424014904839</v>
      </c>
      <c r="BX140" s="23">
        <f>BX$5+SUM(BZ$5:BZ139)+SUM(R$5:R139)-SUM(S$5:S139)+SUM(CB$5,CB139)</f>
        <v>251180.48432721265</v>
      </c>
      <c r="BY140" s="22">
        <f t="shared" si="150"/>
        <v>-1038.2126685524788</v>
      </c>
      <c r="BZ140" s="22">
        <f t="shared" si="151"/>
        <v>-834.48665889439417</v>
      </c>
      <c r="CA140" s="22">
        <f t="shared" si="165"/>
        <v>-1872.699327446873</v>
      </c>
      <c r="CB140" s="22">
        <f t="shared" si="166"/>
        <v>457.64552019759776</v>
      </c>
      <c r="CD140" s="22">
        <f>CD$5+SUM(CE$5:CE139)+SUM(R$5:R139)-SUM(S$5:S139)-SUM(CF$5:CF139)</f>
        <v>308550.23220006627</v>
      </c>
      <c r="CE140" s="22">
        <f t="shared" si="158"/>
        <v>1038.2126685524788</v>
      </c>
      <c r="CF140" s="22">
        <f t="shared" si="152"/>
        <v>1415.0538072492752</v>
      </c>
      <c r="CG140" s="22">
        <f t="shared" si="159"/>
        <v>376.84113869679641</v>
      </c>
      <c r="CI140" s="89">
        <f t="shared" si="153"/>
        <v>0.4582</v>
      </c>
      <c r="CJ140" s="22">
        <f t="shared" si="154"/>
        <v>-648.38</v>
      </c>
      <c r="CK140" s="15">
        <f t="shared" si="160"/>
        <v>0</v>
      </c>
      <c r="CM140" s="22">
        <f t="shared" si="161"/>
        <v>-79841.871400655349</v>
      </c>
      <c r="CN140" s="15">
        <f t="shared" si="167"/>
        <v>-218.89979742346341</v>
      </c>
    </row>
    <row r="141" spans="1:92">
      <c r="A141" s="25"/>
      <c r="B141" s="80">
        <v>41395</v>
      </c>
      <c r="C141" s="81">
        <f t="shared" si="131"/>
        <v>3.3653</v>
      </c>
      <c r="D141" s="82">
        <f t="shared" si="162"/>
        <v>3.466259</v>
      </c>
      <c r="E141" s="73">
        <f t="shared" si="115"/>
        <v>-404.71296995664596</v>
      </c>
      <c r="F141" s="19">
        <f t="shared" si="127"/>
        <v>-1402.8399745289537</v>
      </c>
      <c r="G141" s="19">
        <f t="shared" si="116"/>
        <v>-1276.2346155850762</v>
      </c>
      <c r="H141" s="19">
        <f t="shared" si="128"/>
        <v>126.60535894387749</v>
      </c>
      <c r="I141" s="62"/>
      <c r="J141" s="15" t="str">
        <f t="shared" si="168"/>
        <v xml:space="preserve"> </v>
      </c>
      <c r="K141" s="15">
        <f>IF(B141&lt;=Dane_kredytowe!F$9,0,K140+1)</f>
        <v>61</v>
      </c>
      <c r="L141" s="83">
        <f t="shared" si="132"/>
        <v>1E-4</v>
      </c>
      <c r="M141" s="84">
        <f>L141+Dane_kredytowe!F$12</f>
        <v>3.0099999999999998E-2</v>
      </c>
      <c r="N141" s="79">
        <f>MAX(Dane_kredytowe!F$17+SUM(AA$5:AA140)-SUM(X$5:X141)+SUM(W$5:W141),0)</f>
        <v>85250.902153208939</v>
      </c>
      <c r="O141" s="85">
        <f>MAX(Dane_kredytowe!F$8+SUM(V$5:V140)-SUM(S$5:S141)+SUM(R$5:R140),0)</f>
        <v>268832.87765508611</v>
      </c>
      <c r="P141" s="67">
        <f t="shared" si="122"/>
        <v>360</v>
      </c>
      <c r="Q141" s="127" t="str">
        <f>IF(AND(K141&gt;0,K141&lt;=Dane_kredytowe!F$16),"tak","nie")</f>
        <v>nie</v>
      </c>
      <c r="R141" s="69"/>
      <c r="S141" s="86">
        <f>IF(Dane_kredytowe!F$19=B141,O140+V140,_xlfn.XLOOKUP(B141,Dane_kredytowe!M$9:M$18,Dane_kredytowe!N$9:N$18,0))</f>
        <v>0</v>
      </c>
      <c r="T141" s="71">
        <f t="shared" si="133"/>
        <v>-674.32246811817424</v>
      </c>
      <c r="U141" s="72">
        <f>IF(Q141="tak",T141,IF(P141-SUM(AB$5:AB141)+1&gt;0,IF(Dane_kredytowe!F$9&lt;B141,IF(SUM(AB$5:AB141)-Dane_kredytowe!F$16+1&gt;0,PMT(M141/12,P141+1-SUM(AB$5:AB141),O141),T141),0),0))</f>
        <v>-1276.2346155850762</v>
      </c>
      <c r="V141" s="72">
        <f t="shared" si="155"/>
        <v>-601.91214746690196</v>
      </c>
      <c r="W141" s="19" t="str">
        <f t="shared" si="156"/>
        <v xml:space="preserve"> </v>
      </c>
      <c r="X141" s="19">
        <f t="shared" si="113"/>
        <v>0</v>
      </c>
      <c r="Y141" s="73">
        <f t="shared" si="134"/>
        <v>-213.83767956763242</v>
      </c>
      <c r="Z141" s="19">
        <f>IF(P141-SUM(AB$5:AB141)+1&gt;0,IF(Dane_kredytowe!F$9&lt;B141,IF(SUM(AB$5:AB141)-Dane_kredytowe!F$16+1&gt;0,PMT(M141/12,P141+1-SUM(AB$5:AB141),N141),Y141),0),0)</f>
        <v>-404.71296995664596</v>
      </c>
      <c r="AA141" s="19">
        <f t="shared" si="125"/>
        <v>-190.87529038901354</v>
      </c>
      <c r="AB141" s="20">
        <f>IF(AND(Dane_kredytowe!F$9&lt;B141,SUM(AB$5:AB140)&lt;P140),1," ")</f>
        <v>1</v>
      </c>
      <c r="AD141" s="75">
        <f>IF(OR(B141&lt;Dane_kredytowe!F$15,Dane_kredytowe!F$15=""),-F141+S141,0)</f>
        <v>0</v>
      </c>
      <c r="AE141" s="75">
        <f t="shared" si="135"/>
        <v>404.71296995664596</v>
      </c>
      <c r="AG141" s="22">
        <f>Dane_kredytowe!F$17-SUM(AI$5:AI140)+SUM(W$42:W141)-SUM(X$42:X141)</f>
        <v>79278.86</v>
      </c>
      <c r="AH141" s="22">
        <f t="shared" si="136"/>
        <v>198.86</v>
      </c>
      <c r="AI141" s="22">
        <f t="shared" si="137"/>
        <v>264.26</v>
      </c>
      <c r="AJ141" s="22">
        <f t="shared" si="123"/>
        <v>463.12</v>
      </c>
      <c r="AK141" s="22">
        <f t="shared" si="138"/>
        <v>1605.29</v>
      </c>
      <c r="AL141" s="22">
        <f>Dane_kredytowe!F$8-SUM(AN$5:AN140)+SUM(R$42:R140)-SUM(S$42:S141)</f>
        <v>250000.19999999992</v>
      </c>
      <c r="AM141" s="22">
        <f t="shared" si="139"/>
        <v>627.08000000000004</v>
      </c>
      <c r="AN141" s="22">
        <f t="shared" si="140"/>
        <v>833.33</v>
      </c>
      <c r="AO141" s="22">
        <f t="shared" si="117"/>
        <v>1460.41</v>
      </c>
      <c r="AP141" s="22">
        <f t="shared" si="118"/>
        <v>144.87999999999988</v>
      </c>
      <c r="AR141" s="87">
        <f t="shared" si="141"/>
        <v>41395</v>
      </c>
      <c r="AS141" s="23">
        <f>AS$5+SUM(AV$5:AV140)-SUM(X$5:X141)+SUM(W$5:W141)</f>
        <v>124609.65868873928</v>
      </c>
      <c r="AT141" s="22">
        <f t="shared" si="142"/>
        <v>-312.56256054425432</v>
      </c>
      <c r="AU141" s="22">
        <f>IF(AB141=1,IF(Q141="tak",AT141,PMT(M141/12,P141+1-SUM(AB$5:AB141),AS141)),0)</f>
        <v>-591.56142374389367</v>
      </c>
      <c r="AV141" s="22">
        <f t="shared" si="119"/>
        <v>-278.99886319963935</v>
      </c>
      <c r="AW141" s="22">
        <f t="shared" si="143"/>
        <v>-1990.7816593253253</v>
      </c>
      <c r="AY141" s="23">
        <f>AY$5+SUM(BA$5:BA140)+SUM(W$5:W140)-SUM(X$5:X140)</f>
        <v>115880.07143784183</v>
      </c>
      <c r="AZ141" s="23">
        <f t="shared" si="144"/>
        <v>-312.56256054425432</v>
      </c>
      <c r="BA141" s="23">
        <f t="shared" si="145"/>
        <v>-386.27</v>
      </c>
      <c r="BB141" s="23">
        <f t="shared" si="124"/>
        <v>-698.83256054425431</v>
      </c>
      <c r="BC141" s="23">
        <f t="shared" si="146"/>
        <v>-2351.7812159995788</v>
      </c>
      <c r="BE141" s="88">
        <f t="shared" si="147"/>
        <v>2.86E-2</v>
      </c>
      <c r="BF141" s="89">
        <f>BE141+Dane_kredytowe!F$12</f>
        <v>5.8599999999999999E-2</v>
      </c>
      <c r="BG141" s="23">
        <f>BG$5+SUM(BH$5:BH140)+SUM(R$5:R140)-SUM(S$5:S140)</f>
        <v>284137.67416717182</v>
      </c>
      <c r="BH141" s="22">
        <f t="shared" si="126"/>
        <v>-418.92507712320366</v>
      </c>
      <c r="BI141" s="22">
        <f t="shared" si="121"/>
        <v>-1387.5389755163558</v>
      </c>
      <c r="BJ141" s="22">
        <f>IF(U141&lt;0,PMT(BF141/12,Dane_kredytowe!F$13-SUM(AB$5:AB141)+1,BG141),0)</f>
        <v>-1806.4640526395594</v>
      </c>
      <c r="BL141" s="23">
        <f>BL$5+SUM(BN$5:BN140)+SUM(R$5:R140)-SUM(S$5:S140)</f>
        <v>249999.99999999997</v>
      </c>
      <c r="BM141" s="23">
        <f t="shared" si="129"/>
        <v>-1220.8333333333333</v>
      </c>
      <c r="BN141" s="23">
        <f t="shared" si="148"/>
        <v>-833.33333333333326</v>
      </c>
      <c r="BO141" s="23">
        <f t="shared" si="130"/>
        <v>-2054.1666666666665</v>
      </c>
      <c r="BQ141" s="89">
        <f t="shared" si="149"/>
        <v>4.53E-2</v>
      </c>
      <c r="BR141" s="23">
        <f>BR$5+SUM(BS$5:BS140)+SUM(R$5:R140)-SUM(S$5:S140)+SUM(BV$5:BV140)</f>
        <v>319128.41037318867</v>
      </c>
      <c r="BS141" s="22">
        <f t="shared" si="163"/>
        <v>-574.54812395496469</v>
      </c>
      <c r="BT141" s="22">
        <f t="shared" si="164"/>
        <v>-1204.7097491587872</v>
      </c>
      <c r="BU141" s="22">
        <f>IF(U141&lt;0,PMT(BQ141/12,Dane_kredytowe!F$13-SUM(AB$5:AB141)+1,BR141),0)</f>
        <v>-1779.2578731137519</v>
      </c>
      <c r="BV141" s="22">
        <f t="shared" si="157"/>
        <v>376.41789858479819</v>
      </c>
      <c r="BX141" s="23">
        <f>BX$5+SUM(BZ$5:BZ140)+SUM(R$5:R140)-SUM(S$5:S140)+SUM(CB$5,CB140)</f>
        <v>250300.52153021653</v>
      </c>
      <c r="BY141" s="22">
        <f t="shared" si="150"/>
        <v>-944.88446877656736</v>
      </c>
      <c r="BZ141" s="22">
        <f t="shared" si="151"/>
        <v>-834.3350717673884</v>
      </c>
      <c r="CA141" s="22">
        <f t="shared" si="165"/>
        <v>-1779.2195405439556</v>
      </c>
      <c r="CB141" s="22">
        <f t="shared" si="166"/>
        <v>376.37956601500196</v>
      </c>
      <c r="CD141" s="22">
        <f>CD$5+SUM(CE$5:CE140)+SUM(R$5:R140)-SUM(S$5:S140)-SUM(CF$5:CF140)</f>
        <v>308173.39106136945</v>
      </c>
      <c r="CE141" s="22">
        <f t="shared" si="158"/>
        <v>944.88446877656736</v>
      </c>
      <c r="CF141" s="22">
        <f t="shared" si="152"/>
        <v>1402.8399745289537</v>
      </c>
      <c r="CG141" s="22">
        <f t="shared" si="159"/>
        <v>457.95550575238633</v>
      </c>
      <c r="CI141" s="89">
        <f t="shared" si="153"/>
        <v>0.45960000000000001</v>
      </c>
      <c r="CJ141" s="22">
        <f t="shared" si="154"/>
        <v>-644.75</v>
      </c>
      <c r="CK141" s="15">
        <f t="shared" si="160"/>
        <v>0</v>
      </c>
      <c r="CM141" s="22">
        <f t="shared" si="161"/>
        <v>-81244.711375184299</v>
      </c>
      <c r="CN141" s="15">
        <f t="shared" si="167"/>
        <v>-193.63322877752259</v>
      </c>
    </row>
    <row r="142" spans="1:92">
      <c r="A142" s="25"/>
      <c r="B142" s="80">
        <v>41426</v>
      </c>
      <c r="C142" s="81">
        <f t="shared" si="131"/>
        <v>3.4775</v>
      </c>
      <c r="D142" s="82">
        <f t="shared" si="162"/>
        <v>3.5818250000000003</v>
      </c>
      <c r="E142" s="73">
        <f t="shared" si="115"/>
        <v>-404.71296995664596</v>
      </c>
      <c r="F142" s="19">
        <f t="shared" si="127"/>
        <v>-1449.6110336149636</v>
      </c>
      <c r="G142" s="19">
        <f t="shared" si="116"/>
        <v>-1276.2346155850762</v>
      </c>
      <c r="H142" s="19">
        <f t="shared" si="128"/>
        <v>173.37641802988742</v>
      </c>
      <c r="I142" s="62"/>
      <c r="J142" s="15" t="str">
        <f t="shared" si="168"/>
        <v xml:space="preserve"> </v>
      </c>
      <c r="K142" s="15">
        <f>IF(B142&lt;=Dane_kredytowe!F$9,0,K141+1)</f>
        <v>62</v>
      </c>
      <c r="L142" s="83">
        <f t="shared" si="132"/>
        <v>1E-4</v>
      </c>
      <c r="M142" s="84">
        <f>L142+Dane_kredytowe!F$12</f>
        <v>3.0099999999999998E-2</v>
      </c>
      <c r="N142" s="79">
        <f>MAX(Dane_kredytowe!F$17+SUM(AA$5:AA141)-SUM(X$5:X142)+SUM(W$5:W142),0)</f>
        <v>85060.026862819926</v>
      </c>
      <c r="O142" s="85">
        <f>MAX(Dane_kredytowe!F$8+SUM(V$5:V141)-SUM(S$5:S142)+SUM(R$5:R141),0)</f>
        <v>268230.9655076192</v>
      </c>
      <c r="P142" s="67">
        <f t="shared" si="122"/>
        <v>360</v>
      </c>
      <c r="Q142" s="127" t="str">
        <f>IF(AND(K142&gt;0,K142&lt;=Dane_kredytowe!F$16),"tak","nie")</f>
        <v>nie</v>
      </c>
      <c r="R142" s="69"/>
      <c r="S142" s="86">
        <f>IF(Dane_kredytowe!F$19=B142,O141+V141,_xlfn.XLOOKUP(B142,Dane_kredytowe!M$9:M$18,Dane_kredytowe!N$9:N$18,0))</f>
        <v>0</v>
      </c>
      <c r="T142" s="71">
        <f t="shared" si="133"/>
        <v>-672.81267181494479</v>
      </c>
      <c r="U142" s="72">
        <f>IF(Q142="tak",T142,IF(P142-SUM(AB$5:AB142)+1&gt;0,IF(Dane_kredytowe!F$9&lt;B142,IF(SUM(AB$5:AB142)-Dane_kredytowe!F$16+1&gt;0,PMT(M142/12,P142+1-SUM(AB$5:AB142),O142),T142),0),0))</f>
        <v>-1276.2346155850762</v>
      </c>
      <c r="V142" s="72">
        <f t="shared" si="155"/>
        <v>-603.42194377013141</v>
      </c>
      <c r="W142" s="19" t="str">
        <f t="shared" si="156"/>
        <v xml:space="preserve"> </v>
      </c>
      <c r="X142" s="19">
        <f t="shared" si="113"/>
        <v>0</v>
      </c>
      <c r="Y142" s="73">
        <f t="shared" si="134"/>
        <v>-213.35890071423998</v>
      </c>
      <c r="Z142" s="19">
        <f>IF(P142-SUM(AB$5:AB142)+1&gt;0,IF(Dane_kredytowe!F$9&lt;B142,IF(SUM(AB$5:AB142)-Dane_kredytowe!F$16+1&gt;0,PMT(M142/12,P142+1-SUM(AB$5:AB142),N142),Y142),0),0)</f>
        <v>-404.71296995664596</v>
      </c>
      <c r="AA142" s="19">
        <f t="shared" si="125"/>
        <v>-191.35406924240598</v>
      </c>
      <c r="AB142" s="20">
        <f>IF(AND(Dane_kredytowe!F$9&lt;B142,SUM(AB$5:AB141)&lt;P141),1," ")</f>
        <v>1</v>
      </c>
      <c r="AD142" s="75">
        <f>IF(OR(B142&lt;Dane_kredytowe!F$15,Dane_kredytowe!F$15=""),-F142+S142,0)</f>
        <v>0</v>
      </c>
      <c r="AE142" s="75">
        <f t="shared" si="135"/>
        <v>404.71296995664596</v>
      </c>
      <c r="AG142" s="22">
        <f>Dane_kredytowe!F$17-SUM(AI$5:AI141)+SUM(W$42:W142)-SUM(X$42:X142)</f>
        <v>79014.599999999991</v>
      </c>
      <c r="AH142" s="22">
        <f t="shared" si="136"/>
        <v>198.19</v>
      </c>
      <c r="AI142" s="22">
        <f t="shared" si="137"/>
        <v>264.26</v>
      </c>
      <c r="AJ142" s="22">
        <f t="shared" si="123"/>
        <v>462.45</v>
      </c>
      <c r="AK142" s="22">
        <f t="shared" si="138"/>
        <v>1656.41</v>
      </c>
      <c r="AL142" s="22">
        <f>Dane_kredytowe!F$8-SUM(AN$5:AN141)+SUM(R$42:R141)-SUM(S$42:S142)</f>
        <v>249166.86999999994</v>
      </c>
      <c r="AM142" s="22">
        <f t="shared" si="139"/>
        <v>624.99</v>
      </c>
      <c r="AN142" s="22">
        <f t="shared" si="140"/>
        <v>833.33</v>
      </c>
      <c r="AO142" s="22">
        <f t="shared" si="117"/>
        <v>1458.3200000000002</v>
      </c>
      <c r="AP142" s="22">
        <f t="shared" si="118"/>
        <v>198.08999999999992</v>
      </c>
      <c r="AR142" s="87">
        <f t="shared" si="141"/>
        <v>41426</v>
      </c>
      <c r="AS142" s="23">
        <f>AS$5+SUM(AV$5:AV141)-SUM(X$5:X142)+SUM(W$5:W142)</f>
        <v>124330.65982553964</v>
      </c>
      <c r="AT142" s="22">
        <f t="shared" si="142"/>
        <v>-311.86273839572857</v>
      </c>
      <c r="AU142" s="22">
        <f>IF(AB142=1,IF(Q142="tak",AT142,PMT(M142/12,P142+1-SUM(AB$5:AB142),AS142)),0)</f>
        <v>-591.56142374389367</v>
      </c>
      <c r="AV142" s="22">
        <f t="shared" si="119"/>
        <v>-279.6986853481651</v>
      </c>
      <c r="AW142" s="22">
        <f t="shared" si="143"/>
        <v>-2057.1548510693901</v>
      </c>
      <c r="AY142" s="23">
        <f>AY$5+SUM(BA$5:BA141)+SUM(W$5:W141)-SUM(X$5:X141)</f>
        <v>115493.80143784183</v>
      </c>
      <c r="AZ142" s="23">
        <f t="shared" si="144"/>
        <v>-311.86273839572857</v>
      </c>
      <c r="BA142" s="23">
        <f t="shared" si="145"/>
        <v>-386.27</v>
      </c>
      <c r="BB142" s="23">
        <f t="shared" si="124"/>
        <v>-698.13273839572855</v>
      </c>
      <c r="BC142" s="23">
        <f t="shared" si="146"/>
        <v>-2427.7565977711461</v>
      </c>
      <c r="BE142" s="88">
        <f t="shared" si="147"/>
        <v>2.7400000000000001E-2</v>
      </c>
      <c r="BF142" s="89">
        <f>BE142+Dane_kredytowe!F$12</f>
        <v>5.74E-2</v>
      </c>
      <c r="BG142" s="23">
        <f>BG$5+SUM(BH$5:BH141)+SUM(R$5:R141)-SUM(S$5:S141)</f>
        <v>283718.7490900486</v>
      </c>
      <c r="BH142" s="22">
        <f t="shared" si="126"/>
        <v>-428.73916391698981</v>
      </c>
      <c r="BI142" s="22">
        <f t="shared" si="121"/>
        <v>-1357.1213498140658</v>
      </c>
      <c r="BJ142" s="22">
        <f>IF(U142&lt;0,PMT(BF142/12,Dane_kredytowe!F$13-SUM(AB$5:AB142)+1,BG142),0)</f>
        <v>-1785.8605137310556</v>
      </c>
      <c r="BL142" s="23">
        <f>BL$5+SUM(BN$5:BN141)+SUM(R$5:R141)-SUM(S$5:S141)</f>
        <v>249166.66666666663</v>
      </c>
      <c r="BM142" s="23">
        <f t="shared" si="129"/>
        <v>-1191.8472222222219</v>
      </c>
      <c r="BN142" s="23">
        <f t="shared" si="148"/>
        <v>-833.33333333333326</v>
      </c>
      <c r="BO142" s="23">
        <f t="shared" si="130"/>
        <v>-2025.1805555555552</v>
      </c>
      <c r="BQ142" s="89">
        <f t="shared" si="149"/>
        <v>4.41E-2</v>
      </c>
      <c r="BR142" s="23">
        <f>BR$5+SUM(BS$5:BS141)+SUM(R$5:R141)-SUM(S$5:S141)+SUM(BV$5:BV141)</f>
        <v>318930.2801478185</v>
      </c>
      <c r="BS142" s="22">
        <f t="shared" si="163"/>
        <v>-587.62081153308304</v>
      </c>
      <c r="BT142" s="22">
        <f t="shared" si="164"/>
        <v>-1172.0687795432329</v>
      </c>
      <c r="BU142" s="22">
        <f>IF(U142&lt;0,PMT(BQ142/12,Dane_kredytowe!F$13-SUM(AB$5:AB142)+1,BR142),0)</f>
        <v>-1759.689591076316</v>
      </c>
      <c r="BV142" s="22">
        <f t="shared" si="157"/>
        <v>310.07855746135237</v>
      </c>
      <c r="BX142" s="23">
        <f>BX$5+SUM(BZ$5:BZ141)+SUM(R$5:R141)-SUM(S$5:S141)+SUM(CB$5,CB141)</f>
        <v>249384.92050426654</v>
      </c>
      <c r="BY142" s="22">
        <f t="shared" si="150"/>
        <v>-916.48958285317951</v>
      </c>
      <c r="BZ142" s="22">
        <f t="shared" si="151"/>
        <v>-834.06327927848338</v>
      </c>
      <c r="CA142" s="22">
        <f t="shared" si="165"/>
        <v>-1750.552862131663</v>
      </c>
      <c r="CB142" s="22">
        <f t="shared" si="166"/>
        <v>300.94182851669939</v>
      </c>
      <c r="CD142" s="22">
        <f>CD$5+SUM(CE$5:CE141)+SUM(R$5:R141)-SUM(S$5:S141)-SUM(CF$5:CF141)</f>
        <v>307715.43555561709</v>
      </c>
      <c r="CE142" s="22">
        <f t="shared" si="158"/>
        <v>916.48958285317951</v>
      </c>
      <c r="CF142" s="22">
        <f t="shared" si="152"/>
        <v>1449.6110336149636</v>
      </c>
      <c r="CG142" s="22">
        <f t="shared" si="159"/>
        <v>533.1214507617841</v>
      </c>
      <c r="CI142" s="89">
        <f t="shared" si="153"/>
        <v>0.45960000000000001</v>
      </c>
      <c r="CJ142" s="22">
        <f t="shared" si="154"/>
        <v>-666.24</v>
      </c>
      <c r="CK142" s="15">
        <f t="shared" si="160"/>
        <v>0</v>
      </c>
      <c r="CM142" s="22">
        <f t="shared" si="161"/>
        <v>-82694.322408799257</v>
      </c>
      <c r="CN142" s="15">
        <f t="shared" si="167"/>
        <v>-188.81870283342496</v>
      </c>
    </row>
    <row r="143" spans="1:92">
      <c r="A143" s="25"/>
      <c r="B143" s="80">
        <v>41456</v>
      </c>
      <c r="C143" s="81">
        <f t="shared" si="131"/>
        <v>3.4582000000000002</v>
      </c>
      <c r="D143" s="82">
        <f t="shared" si="162"/>
        <v>3.5619460000000003</v>
      </c>
      <c r="E143" s="73">
        <f t="shared" si="115"/>
        <v>-404.71296995664608</v>
      </c>
      <c r="F143" s="19">
        <f t="shared" si="127"/>
        <v>-1441.5657444851959</v>
      </c>
      <c r="G143" s="19">
        <f t="shared" si="116"/>
        <v>-1276.2346155850762</v>
      </c>
      <c r="H143" s="19">
        <f t="shared" si="128"/>
        <v>165.33112890011967</v>
      </c>
      <c r="I143" s="62"/>
      <c r="J143" s="15" t="str">
        <f t="shared" si="168"/>
        <v xml:space="preserve"> </v>
      </c>
      <c r="K143" s="15">
        <f>IF(B143&lt;=Dane_kredytowe!F$9,0,K142+1)</f>
        <v>63</v>
      </c>
      <c r="L143" s="83">
        <f t="shared" si="132"/>
        <v>1E-4</v>
      </c>
      <c r="M143" s="84">
        <f>L143+Dane_kredytowe!F$12</f>
        <v>3.0099999999999998E-2</v>
      </c>
      <c r="N143" s="79">
        <f>MAX(Dane_kredytowe!F$17+SUM(AA$5:AA142)-SUM(X$5:X143)+SUM(W$5:W143),0)</f>
        <v>84868.672793577527</v>
      </c>
      <c r="O143" s="85">
        <f>MAX(Dane_kredytowe!F$8+SUM(V$5:V142)-SUM(S$5:S143)+SUM(R$5:R142),0)</f>
        <v>267627.54356384906</v>
      </c>
      <c r="P143" s="67">
        <f t="shared" si="122"/>
        <v>360</v>
      </c>
      <c r="Q143" s="127" t="str">
        <f>IF(AND(K143&gt;0,K143&lt;=Dane_kredytowe!F$16),"tak","nie")</f>
        <v>nie</v>
      </c>
      <c r="R143" s="69"/>
      <c r="S143" s="86">
        <f>IF(Dane_kredytowe!F$19=B143,O142+V142,_xlfn.XLOOKUP(B143,Dane_kredytowe!M$9:M$18,Dane_kredytowe!N$9:N$18,0))</f>
        <v>0</v>
      </c>
      <c r="T143" s="71">
        <f t="shared" si="133"/>
        <v>-671.29908843932128</v>
      </c>
      <c r="U143" s="72">
        <f>IF(Q143="tak",T143,IF(P143-SUM(AB$5:AB143)+1&gt;0,IF(Dane_kredytowe!F$9&lt;B143,IF(SUM(AB$5:AB143)-Dane_kredytowe!F$16+1&gt;0,PMT(M143/12,P143+1-SUM(AB$5:AB143),O143),T143),0),0))</f>
        <v>-1276.2346155850762</v>
      </c>
      <c r="V143" s="72">
        <f t="shared" si="155"/>
        <v>-604.93552714575492</v>
      </c>
      <c r="W143" s="19" t="str">
        <f t="shared" si="156"/>
        <v xml:space="preserve"> </v>
      </c>
      <c r="X143" s="19">
        <f t="shared" ref="X143:X206" si="169">IF(S143&gt;0,S143/D143,0)</f>
        <v>0</v>
      </c>
      <c r="Y143" s="73">
        <f t="shared" si="134"/>
        <v>-212.87892092389029</v>
      </c>
      <c r="Z143" s="19">
        <f>IF(P143-SUM(AB$5:AB143)+1&gt;0,IF(Dane_kredytowe!F$9&lt;B143,IF(SUM(AB$5:AB143)-Dane_kredytowe!F$16+1&gt;0,PMT(M143/12,P143+1-SUM(AB$5:AB143),N143),Y143),0),0)</f>
        <v>-404.71296995664608</v>
      </c>
      <c r="AA143" s="19">
        <f t="shared" si="125"/>
        <v>-191.83404903275579</v>
      </c>
      <c r="AB143" s="20">
        <f>IF(AND(Dane_kredytowe!F$9&lt;B143,SUM(AB$5:AB142)&lt;P142),1," ")</f>
        <v>1</v>
      </c>
      <c r="AD143" s="75">
        <f>IF(OR(B143&lt;Dane_kredytowe!F$15,Dane_kredytowe!F$15=""),-F143+S143,0)</f>
        <v>0</v>
      </c>
      <c r="AE143" s="75">
        <f t="shared" si="135"/>
        <v>404.71296995664608</v>
      </c>
      <c r="AG143" s="22">
        <f>Dane_kredytowe!F$17-SUM(AI$5:AI142)+SUM(W$42:W143)-SUM(X$42:X143)</f>
        <v>78750.34</v>
      </c>
      <c r="AH143" s="22">
        <f t="shared" si="136"/>
        <v>197.53</v>
      </c>
      <c r="AI143" s="22">
        <f t="shared" si="137"/>
        <v>264.26</v>
      </c>
      <c r="AJ143" s="22">
        <f t="shared" si="123"/>
        <v>461.78999999999996</v>
      </c>
      <c r="AK143" s="22">
        <f t="shared" si="138"/>
        <v>1644.87</v>
      </c>
      <c r="AL143" s="22">
        <f>Dane_kredytowe!F$8-SUM(AN$5:AN142)+SUM(R$42:R142)-SUM(S$42:S143)</f>
        <v>248333.53999999992</v>
      </c>
      <c r="AM143" s="22">
        <f t="shared" si="139"/>
        <v>622.9</v>
      </c>
      <c r="AN143" s="22">
        <f t="shared" si="140"/>
        <v>833.33</v>
      </c>
      <c r="AO143" s="22">
        <f t="shared" si="117"/>
        <v>1456.23</v>
      </c>
      <c r="AP143" s="22">
        <f t="shared" si="118"/>
        <v>188.63999999999987</v>
      </c>
      <c r="AR143" s="87">
        <f t="shared" si="141"/>
        <v>41456</v>
      </c>
      <c r="AS143" s="23">
        <f>AS$5+SUM(AV$5:AV142)-SUM(X$5:X143)+SUM(W$5:W143)</f>
        <v>124050.96114019147</v>
      </c>
      <c r="AT143" s="22">
        <f t="shared" si="142"/>
        <v>-311.16116085998027</v>
      </c>
      <c r="AU143" s="22">
        <f>IF(AB143=1,IF(Q143="tak",AT143,PMT(M143/12,P143+1-SUM(AB$5:AB143),AS143)),0)</f>
        <v>-591.56142374389367</v>
      </c>
      <c r="AV143" s="22">
        <f t="shared" si="119"/>
        <v>-280.4002628839134</v>
      </c>
      <c r="AW143" s="22">
        <f t="shared" si="143"/>
        <v>-2045.7377155911331</v>
      </c>
      <c r="AY143" s="23">
        <f>AY$5+SUM(BA$5:BA142)+SUM(W$5:W142)-SUM(X$5:X142)</f>
        <v>115107.53143784183</v>
      </c>
      <c r="AZ143" s="23">
        <f t="shared" si="144"/>
        <v>-311.16116085998027</v>
      </c>
      <c r="BA143" s="23">
        <f t="shared" si="145"/>
        <v>-386.27</v>
      </c>
      <c r="BB143" s="23">
        <f t="shared" si="124"/>
        <v>-697.43116085998031</v>
      </c>
      <c r="BC143" s="23">
        <f t="shared" si="146"/>
        <v>-2411.856440485984</v>
      </c>
      <c r="BE143" s="88">
        <f t="shared" si="147"/>
        <v>2.7E-2</v>
      </c>
      <c r="BF143" s="89">
        <f>BE143+Dane_kredytowe!F$12</f>
        <v>5.6999999999999995E-2</v>
      </c>
      <c r="BG143" s="23">
        <f>BG$5+SUM(BH$5:BH142)+SUM(R$5:R142)-SUM(S$5:S142)</f>
        <v>283290.00992613158</v>
      </c>
      <c r="BH143" s="22">
        <f t="shared" si="126"/>
        <v>-433.40704074437326</v>
      </c>
      <c r="BI143" s="22">
        <f t="shared" si="121"/>
        <v>-1345.6275471491249</v>
      </c>
      <c r="BJ143" s="22">
        <f>IF(U143&lt;0,PMT(BF143/12,Dane_kredytowe!F$13-SUM(AB$5:AB143)+1,BG143),0)</f>
        <v>-1779.0345878934982</v>
      </c>
      <c r="BL143" s="23">
        <f>BL$5+SUM(BN$5:BN142)+SUM(R$5:R142)-SUM(S$5:S142)</f>
        <v>248333.33333333331</v>
      </c>
      <c r="BM143" s="23">
        <f t="shared" si="129"/>
        <v>-1179.5833333333333</v>
      </c>
      <c r="BN143" s="23">
        <f t="shared" si="148"/>
        <v>-833.33333333333326</v>
      </c>
      <c r="BO143" s="23">
        <f t="shared" si="130"/>
        <v>-2012.9166666666665</v>
      </c>
      <c r="BQ143" s="89">
        <f t="shared" si="149"/>
        <v>4.3700000000000003E-2</v>
      </c>
      <c r="BR143" s="23">
        <f>BR$5+SUM(BS$5:BS142)+SUM(R$5:R142)-SUM(S$5:S142)+SUM(BV$5:BV142)</f>
        <v>318652.73789374682</v>
      </c>
      <c r="BS143" s="22">
        <f t="shared" si="163"/>
        <v>-593.79604961058362</v>
      </c>
      <c r="BT143" s="22">
        <f t="shared" si="164"/>
        <v>-1160.427053829728</v>
      </c>
      <c r="BU143" s="22">
        <f>IF(U143&lt;0,PMT(BQ143/12,Dane_kredytowe!F$13-SUM(AB$5:AB143)+1,BR143),0)</f>
        <v>-1754.2231034403117</v>
      </c>
      <c r="BV143" s="22">
        <f t="shared" si="157"/>
        <v>312.6573589551158</v>
      </c>
      <c r="BX143" s="23">
        <f>BX$5+SUM(BZ$5:BZ142)+SUM(R$5:R142)-SUM(S$5:S142)+SUM(CB$5,CB142)</f>
        <v>248475.41948748977</v>
      </c>
      <c r="BY143" s="22">
        <f t="shared" si="150"/>
        <v>-904.86465263360867</v>
      </c>
      <c r="BZ143" s="22">
        <f t="shared" si="151"/>
        <v>-833.81013250835497</v>
      </c>
      <c r="CA143" s="22">
        <f t="shared" si="165"/>
        <v>-1738.6747851419636</v>
      </c>
      <c r="CB143" s="22">
        <f t="shared" si="166"/>
        <v>297.10904065676777</v>
      </c>
      <c r="CD143" s="22">
        <f>CD$5+SUM(CE$5:CE142)+SUM(R$5:R142)-SUM(S$5:S142)-SUM(CF$5:CF142)</f>
        <v>307182.31410485529</v>
      </c>
      <c r="CE143" s="22">
        <f t="shared" si="158"/>
        <v>904.86465263360867</v>
      </c>
      <c r="CF143" s="22">
        <f t="shared" si="152"/>
        <v>1441.5657444851959</v>
      </c>
      <c r="CG143" s="22">
        <f t="shared" si="159"/>
        <v>536.70109185158719</v>
      </c>
      <c r="CI143" s="89">
        <f t="shared" si="153"/>
        <v>0.45529999999999998</v>
      </c>
      <c r="CJ143" s="22">
        <f t="shared" si="154"/>
        <v>-656.34</v>
      </c>
      <c r="CK143" s="15">
        <f t="shared" si="160"/>
        <v>0</v>
      </c>
      <c r="CM143" s="22">
        <f t="shared" si="161"/>
        <v>-84135.888153284453</v>
      </c>
      <c r="CN143" s="15">
        <f t="shared" si="167"/>
        <v>-189.30574834489002</v>
      </c>
    </row>
    <row r="144" spans="1:92">
      <c r="A144" s="25"/>
      <c r="B144" s="80">
        <v>41487</v>
      </c>
      <c r="C144" s="81">
        <f t="shared" si="131"/>
        <v>3.4276</v>
      </c>
      <c r="D144" s="82">
        <f t="shared" si="162"/>
        <v>3.5304280000000001</v>
      </c>
      <c r="E144" s="73">
        <f t="shared" si="115"/>
        <v>-404.71296995664608</v>
      </c>
      <c r="F144" s="19">
        <f t="shared" si="127"/>
        <v>-1428.8100010981022</v>
      </c>
      <c r="G144" s="19">
        <f t="shared" si="116"/>
        <v>-1276.2346155850762</v>
      </c>
      <c r="H144" s="19">
        <f t="shared" si="128"/>
        <v>152.57538551302605</v>
      </c>
      <c r="I144" s="62"/>
      <c r="J144" s="15" t="str">
        <f t="shared" si="168"/>
        <v xml:space="preserve"> </v>
      </c>
      <c r="K144" s="15">
        <f>IF(B144&lt;=Dane_kredytowe!F$9,0,K143+1)</f>
        <v>64</v>
      </c>
      <c r="L144" s="83">
        <f t="shared" si="132"/>
        <v>1E-4</v>
      </c>
      <c r="M144" s="84">
        <f>L144+Dane_kredytowe!F$12</f>
        <v>3.0099999999999998E-2</v>
      </c>
      <c r="N144" s="79">
        <f>MAX(Dane_kredytowe!F$17+SUM(AA$5:AA143)-SUM(X$5:X144)+SUM(W$5:W144),0)</f>
        <v>84676.838744544773</v>
      </c>
      <c r="O144" s="85">
        <f>MAX(Dane_kredytowe!F$8+SUM(V$5:V143)-SUM(S$5:S144)+SUM(R$5:R143),0)</f>
        <v>267022.60803670331</v>
      </c>
      <c r="P144" s="67">
        <f t="shared" si="122"/>
        <v>360</v>
      </c>
      <c r="Q144" s="127" t="str">
        <f>IF(AND(K144&gt;0,K144&lt;=Dane_kredytowe!F$16),"tak","nie")</f>
        <v>nie</v>
      </c>
      <c r="R144" s="69"/>
      <c r="S144" s="86">
        <f>IF(Dane_kredytowe!F$19=B144,O143+V143,_xlfn.XLOOKUP(B144,Dane_kredytowe!M$9:M$18,Dane_kredytowe!N$9:N$18,0))</f>
        <v>0</v>
      </c>
      <c r="T144" s="71">
        <f t="shared" si="133"/>
        <v>-669.78170849206413</v>
      </c>
      <c r="U144" s="72">
        <f>IF(Q144="tak",T144,IF(P144-SUM(AB$5:AB144)+1&gt;0,IF(Dane_kredytowe!F$9&lt;B144,IF(SUM(AB$5:AB144)-Dane_kredytowe!F$16+1&gt;0,PMT(M144/12,P144+1-SUM(AB$5:AB144),O144),T144),0),0))</f>
        <v>-1276.2346155850762</v>
      </c>
      <c r="V144" s="72">
        <f t="shared" si="155"/>
        <v>-606.45290709301207</v>
      </c>
      <c r="W144" s="19" t="str">
        <f t="shared" si="156"/>
        <v xml:space="preserve"> </v>
      </c>
      <c r="X144" s="19">
        <f t="shared" si="169"/>
        <v>0</v>
      </c>
      <c r="Y144" s="73">
        <f t="shared" si="134"/>
        <v>-212.39773718423314</v>
      </c>
      <c r="Z144" s="19">
        <f>IF(P144-SUM(AB$5:AB144)+1&gt;0,IF(Dane_kredytowe!F$9&lt;B144,IF(SUM(AB$5:AB144)-Dane_kredytowe!F$16+1&gt;0,PMT(M144/12,P144+1-SUM(AB$5:AB144),N144),Y144),0),0)</f>
        <v>-404.71296995664608</v>
      </c>
      <c r="AA144" s="19">
        <f t="shared" si="125"/>
        <v>-192.31523277241294</v>
      </c>
      <c r="AB144" s="20">
        <f>IF(AND(Dane_kredytowe!F$9&lt;B144,SUM(AB$5:AB143)&lt;P143),1," ")</f>
        <v>1</v>
      </c>
      <c r="AD144" s="75">
        <f>IF(OR(B144&lt;Dane_kredytowe!F$15,Dane_kredytowe!F$15=""),-F144+S144,0)</f>
        <v>0</v>
      </c>
      <c r="AE144" s="75">
        <f t="shared" si="135"/>
        <v>404.71296995664608</v>
      </c>
      <c r="AG144" s="22">
        <f>Dane_kredytowe!F$17-SUM(AI$5:AI143)+SUM(W$42:W144)-SUM(X$42:X144)</f>
        <v>78486.080000000002</v>
      </c>
      <c r="AH144" s="22">
        <f t="shared" si="136"/>
        <v>196.87</v>
      </c>
      <c r="AI144" s="22">
        <f t="shared" si="137"/>
        <v>264.26</v>
      </c>
      <c r="AJ144" s="22">
        <f t="shared" si="123"/>
        <v>461.13</v>
      </c>
      <c r="AK144" s="22">
        <f t="shared" si="138"/>
        <v>1627.99</v>
      </c>
      <c r="AL144" s="22">
        <f>Dane_kredytowe!F$8-SUM(AN$5:AN143)+SUM(R$42:R143)-SUM(S$42:S144)</f>
        <v>247500.20999999993</v>
      </c>
      <c r="AM144" s="22">
        <f t="shared" si="139"/>
        <v>620.80999999999995</v>
      </c>
      <c r="AN144" s="22">
        <f t="shared" si="140"/>
        <v>833.33</v>
      </c>
      <c r="AO144" s="22">
        <f t="shared" si="117"/>
        <v>1454.1399999999999</v>
      </c>
      <c r="AP144" s="22">
        <f t="shared" si="118"/>
        <v>173.85000000000014</v>
      </c>
      <c r="AR144" s="87">
        <f t="shared" si="141"/>
        <v>41487</v>
      </c>
      <c r="AS144" s="23">
        <f>AS$5+SUM(AV$5:AV143)-SUM(X$5:X144)+SUM(W$5:W144)</f>
        <v>123770.56087730755</v>
      </c>
      <c r="AT144" s="22">
        <f t="shared" si="142"/>
        <v>-310.45782353391309</v>
      </c>
      <c r="AU144" s="22">
        <f>IF(AB144=1,IF(Q144="tak",AT144,PMT(M144/12,P144+1-SUM(AB$5:AB144),AS144)),0)</f>
        <v>-591.56142374389367</v>
      </c>
      <c r="AV144" s="22">
        <f t="shared" si="119"/>
        <v>-281.10360020998058</v>
      </c>
      <c r="AW144" s="22">
        <f t="shared" si="143"/>
        <v>-2027.6359360245699</v>
      </c>
      <c r="AY144" s="23">
        <f>AY$5+SUM(BA$5:BA143)+SUM(W$5:W143)-SUM(X$5:X143)</f>
        <v>114721.26143784182</v>
      </c>
      <c r="AZ144" s="23">
        <f t="shared" si="144"/>
        <v>-310.45782353391309</v>
      </c>
      <c r="BA144" s="23">
        <f t="shared" si="145"/>
        <v>-386.27</v>
      </c>
      <c r="BB144" s="23">
        <f t="shared" si="124"/>
        <v>-696.72782353391312</v>
      </c>
      <c r="BC144" s="23">
        <f t="shared" si="146"/>
        <v>-2388.1042879448405</v>
      </c>
      <c r="BE144" s="88">
        <f t="shared" si="147"/>
        <v>2.7E-2</v>
      </c>
      <c r="BF144" s="89">
        <f>BE144+Dane_kredytowe!F$12</f>
        <v>5.6999999999999995E-2</v>
      </c>
      <c r="BG144" s="23">
        <f>BG$5+SUM(BH$5:BH143)+SUM(R$5:R143)-SUM(S$5:S143)</f>
        <v>282856.60288538726</v>
      </c>
      <c r="BH144" s="22">
        <f t="shared" si="126"/>
        <v>-435.46572418790925</v>
      </c>
      <c r="BI144" s="22">
        <f t="shared" si="121"/>
        <v>-1343.5688637055894</v>
      </c>
      <c r="BJ144" s="22">
        <f>IF(U144&lt;0,PMT(BF144/12,Dane_kredytowe!F$13-SUM(AB$5:AB144)+1,BG144),0)</f>
        <v>-1779.0345878934986</v>
      </c>
      <c r="BL144" s="23">
        <f>BL$5+SUM(BN$5:BN143)+SUM(R$5:R143)-SUM(S$5:S143)</f>
        <v>247499.99999999997</v>
      </c>
      <c r="BM144" s="23">
        <f t="shared" si="129"/>
        <v>-1175.6249999999998</v>
      </c>
      <c r="BN144" s="23">
        <f t="shared" si="148"/>
        <v>-833.33333333333326</v>
      </c>
      <c r="BO144" s="23">
        <f t="shared" si="130"/>
        <v>-2008.958333333333</v>
      </c>
      <c r="BQ144" s="89">
        <f t="shared" si="149"/>
        <v>4.3700000000000003E-2</v>
      </c>
      <c r="BR144" s="23">
        <f>BR$5+SUM(BS$5:BS143)+SUM(R$5:R143)-SUM(S$5:S143)+SUM(BV$5:BV143)</f>
        <v>318371.59920309135</v>
      </c>
      <c r="BS144" s="22">
        <f t="shared" si="163"/>
        <v>-596.5442942083771</v>
      </c>
      <c r="BT144" s="22">
        <f t="shared" si="164"/>
        <v>-1159.4032404312577</v>
      </c>
      <c r="BU144" s="22">
        <f>IF(U144&lt;0,PMT(BQ144/12,Dane_kredytowe!F$13-SUM(AB$5:AB144)+1,BR144),0)</f>
        <v>-1755.9475346396348</v>
      </c>
      <c r="BV144" s="22">
        <f t="shared" si="157"/>
        <v>327.13753354153255</v>
      </c>
      <c r="BX144" s="23">
        <f>BX$5+SUM(BZ$5:BZ143)+SUM(R$5:R143)-SUM(S$5:S143)+SUM(CB$5,CB143)</f>
        <v>247637.77656712147</v>
      </c>
      <c r="BY144" s="22">
        <f t="shared" si="150"/>
        <v>-901.81423633193401</v>
      </c>
      <c r="BZ144" s="22">
        <f t="shared" si="151"/>
        <v>-833.79722749872553</v>
      </c>
      <c r="CA144" s="22">
        <f t="shared" si="165"/>
        <v>-1735.6114638306594</v>
      </c>
      <c r="CB144" s="22">
        <f t="shared" si="166"/>
        <v>306.80146273255718</v>
      </c>
      <c r="CD144" s="22">
        <f>CD$5+SUM(CE$5:CE143)+SUM(R$5:R143)-SUM(S$5:S143)-SUM(CF$5:CF143)</f>
        <v>306645.61301300372</v>
      </c>
      <c r="CE144" s="22">
        <f t="shared" si="158"/>
        <v>901.81423633193401</v>
      </c>
      <c r="CF144" s="22">
        <f t="shared" si="152"/>
        <v>1428.8100010981022</v>
      </c>
      <c r="CG144" s="22">
        <f t="shared" si="159"/>
        <v>526.99576476616824</v>
      </c>
      <c r="CI144" s="89">
        <f t="shared" si="153"/>
        <v>0.45960000000000001</v>
      </c>
      <c r="CJ144" s="22">
        <f t="shared" si="154"/>
        <v>-656.68</v>
      </c>
      <c r="CK144" s="15">
        <f t="shared" si="160"/>
        <v>0</v>
      </c>
      <c r="CM144" s="22">
        <f t="shared" si="161"/>
        <v>-85564.698154382553</v>
      </c>
      <c r="CN144" s="15">
        <f t="shared" si="167"/>
        <v>-192.52057084736074</v>
      </c>
    </row>
    <row r="145" spans="1:92">
      <c r="A145" s="25"/>
      <c r="B145" s="80">
        <v>41518</v>
      </c>
      <c r="C145" s="81">
        <f t="shared" si="131"/>
        <v>3.4348999999999998</v>
      </c>
      <c r="D145" s="82">
        <f t="shared" si="162"/>
        <v>3.537947</v>
      </c>
      <c r="E145" s="73">
        <f t="shared" si="115"/>
        <v>-404.71296995664596</v>
      </c>
      <c r="F145" s="19">
        <f t="shared" si="127"/>
        <v>-1431.8530379192057</v>
      </c>
      <c r="G145" s="19">
        <f t="shared" si="116"/>
        <v>-1276.2346155850762</v>
      </c>
      <c r="H145" s="19">
        <f t="shared" si="128"/>
        <v>155.61842233412949</v>
      </c>
      <c r="I145" s="62"/>
      <c r="J145" s="15" t="str">
        <f t="shared" si="168"/>
        <v xml:space="preserve"> </v>
      </c>
      <c r="K145" s="15">
        <f>IF(B145&lt;=Dane_kredytowe!F$9,0,K144+1)</f>
        <v>65</v>
      </c>
      <c r="L145" s="83">
        <f t="shared" si="132"/>
        <v>1E-4</v>
      </c>
      <c r="M145" s="84">
        <f>L145+Dane_kredytowe!F$12</f>
        <v>3.0099999999999998E-2</v>
      </c>
      <c r="N145" s="79">
        <f>MAX(Dane_kredytowe!F$17+SUM(AA$5:AA144)-SUM(X$5:X145)+SUM(W$5:W145),0)</f>
        <v>84484.52351177235</v>
      </c>
      <c r="O145" s="85">
        <f>MAX(Dane_kredytowe!F$8+SUM(V$5:V144)-SUM(S$5:S145)+SUM(R$5:R144),0)</f>
        <v>266416.15512961033</v>
      </c>
      <c r="P145" s="67">
        <f t="shared" si="122"/>
        <v>360</v>
      </c>
      <c r="Q145" s="127" t="str">
        <f>IF(AND(K145&gt;0,K145&lt;=Dane_kredytowe!F$16),"tak","nie")</f>
        <v>nie</v>
      </c>
      <c r="R145" s="69"/>
      <c r="S145" s="86">
        <f>IF(Dane_kredytowe!F$19=B145,O144+V144,_xlfn.XLOOKUP(B145,Dane_kredytowe!M$9:M$18,Dane_kredytowe!N$9:N$18,0))</f>
        <v>0</v>
      </c>
      <c r="T145" s="71">
        <f t="shared" si="133"/>
        <v>-668.2605224501059</v>
      </c>
      <c r="U145" s="72">
        <f>IF(Q145="tak",T145,IF(P145-SUM(AB$5:AB145)+1&gt;0,IF(Dane_kredytowe!F$9&lt;B145,IF(SUM(AB$5:AB145)-Dane_kredytowe!F$16+1&gt;0,PMT(M145/12,P145+1-SUM(AB$5:AB145),O145),T145),0),0))</f>
        <v>-1276.2346155850762</v>
      </c>
      <c r="V145" s="72">
        <f t="shared" si="155"/>
        <v>-607.9740931349703</v>
      </c>
      <c r="W145" s="19" t="str">
        <f t="shared" si="156"/>
        <v xml:space="preserve"> </v>
      </c>
      <c r="X145" s="19">
        <f t="shared" si="169"/>
        <v>0</v>
      </c>
      <c r="Y145" s="73">
        <f t="shared" si="134"/>
        <v>-211.9153464753623</v>
      </c>
      <c r="Z145" s="19">
        <f>IF(P145-SUM(AB$5:AB145)+1&gt;0,IF(Dane_kredytowe!F$9&lt;B145,IF(SUM(AB$5:AB145)-Dane_kredytowe!F$16+1&gt;0,PMT(M145/12,P145+1-SUM(AB$5:AB145),N145),Y145),0),0)</f>
        <v>-404.71296995664596</v>
      </c>
      <c r="AA145" s="19">
        <f t="shared" si="125"/>
        <v>-192.79762348128367</v>
      </c>
      <c r="AB145" s="20">
        <f>IF(AND(Dane_kredytowe!F$9&lt;B145,SUM(AB$5:AB144)&lt;P144),1," ")</f>
        <v>1</v>
      </c>
      <c r="AD145" s="75">
        <f>IF(OR(B145&lt;Dane_kredytowe!F$15,Dane_kredytowe!F$15=""),-F145+S145,0)</f>
        <v>0</v>
      </c>
      <c r="AE145" s="75">
        <f t="shared" si="135"/>
        <v>404.71296995664596</v>
      </c>
      <c r="AG145" s="22">
        <f>Dane_kredytowe!F$17-SUM(AI$5:AI144)+SUM(W$42:W145)-SUM(X$42:X145)</f>
        <v>78221.820000000007</v>
      </c>
      <c r="AH145" s="22">
        <f t="shared" si="136"/>
        <v>196.21</v>
      </c>
      <c r="AI145" s="22">
        <f t="shared" si="137"/>
        <v>264.26</v>
      </c>
      <c r="AJ145" s="22">
        <f t="shared" si="123"/>
        <v>460.47</v>
      </c>
      <c r="AK145" s="22">
        <f t="shared" si="138"/>
        <v>1629.12</v>
      </c>
      <c r="AL145" s="22">
        <f>Dane_kredytowe!F$8-SUM(AN$5:AN144)+SUM(R$42:R144)-SUM(S$42:S145)</f>
        <v>246666.87999999992</v>
      </c>
      <c r="AM145" s="22">
        <f t="shared" si="139"/>
        <v>618.72</v>
      </c>
      <c r="AN145" s="22">
        <f t="shared" si="140"/>
        <v>833.33</v>
      </c>
      <c r="AO145" s="22">
        <f t="shared" si="117"/>
        <v>1452.0500000000002</v>
      </c>
      <c r="AP145" s="22">
        <f t="shared" si="118"/>
        <v>177.06999999999971</v>
      </c>
      <c r="AR145" s="87">
        <f t="shared" si="141"/>
        <v>41518</v>
      </c>
      <c r="AS145" s="23">
        <f>AS$5+SUM(AV$5:AV144)-SUM(X$5:X145)+SUM(W$5:W145)</f>
        <v>123489.45727709758</v>
      </c>
      <c r="AT145" s="22">
        <f t="shared" si="142"/>
        <v>-309.7527220033864</v>
      </c>
      <c r="AU145" s="22">
        <f>IF(AB145=1,IF(Q145="tak",AT145,PMT(M145/12,P145+1-SUM(AB$5:AB145),AS145)),0)</f>
        <v>-591.56142374389367</v>
      </c>
      <c r="AV145" s="22">
        <f t="shared" si="119"/>
        <v>-281.80870174050727</v>
      </c>
      <c r="AW145" s="22">
        <f t="shared" si="143"/>
        <v>-2031.9543344179003</v>
      </c>
      <c r="AY145" s="23">
        <f>AY$5+SUM(BA$5:BA144)+SUM(W$5:W144)-SUM(X$5:X144)</f>
        <v>114334.99143784182</v>
      </c>
      <c r="AZ145" s="23">
        <f t="shared" si="144"/>
        <v>-309.7527220033864</v>
      </c>
      <c r="BA145" s="23">
        <f t="shared" si="145"/>
        <v>-386.27</v>
      </c>
      <c r="BB145" s="23">
        <f t="shared" si="124"/>
        <v>-696.02272200338643</v>
      </c>
      <c r="BC145" s="23">
        <f t="shared" si="146"/>
        <v>-2390.768447809432</v>
      </c>
      <c r="BE145" s="88">
        <f t="shared" si="147"/>
        <v>2.69E-2</v>
      </c>
      <c r="BF145" s="89">
        <f>BE145+Dane_kredytowe!F$12</f>
        <v>5.6899999999999999E-2</v>
      </c>
      <c r="BG145" s="23">
        <f>BG$5+SUM(BH$5:BH144)+SUM(R$5:R144)-SUM(S$5:S144)</f>
        <v>282421.13716119935</v>
      </c>
      <c r="BH145" s="22">
        <f t="shared" si="126"/>
        <v>-438.19146407661697</v>
      </c>
      <c r="BI145" s="22">
        <f t="shared" si="121"/>
        <v>-1339.1468920393536</v>
      </c>
      <c r="BJ145" s="22">
        <f>IF(U145&lt;0,PMT(BF145/12,Dane_kredytowe!F$13-SUM(AB$5:AB145)+1,BG145),0)</f>
        <v>-1777.3383561159706</v>
      </c>
      <c r="BL145" s="23">
        <f>BL$5+SUM(BN$5:BN144)+SUM(R$5:R144)-SUM(S$5:S144)</f>
        <v>246666.66666666663</v>
      </c>
      <c r="BM145" s="23">
        <f t="shared" si="129"/>
        <v>-1169.6111111111109</v>
      </c>
      <c r="BN145" s="23">
        <f t="shared" si="148"/>
        <v>-833.33333333333326</v>
      </c>
      <c r="BO145" s="23">
        <f t="shared" si="130"/>
        <v>-2002.9444444444441</v>
      </c>
      <c r="BQ145" s="89">
        <f t="shared" si="149"/>
        <v>4.36E-2</v>
      </c>
      <c r="BR145" s="23">
        <f>BR$5+SUM(BS$5:BS144)+SUM(R$5:R144)-SUM(S$5:S144)+SUM(BV$5:BV144)</f>
        <v>318102.19244242448</v>
      </c>
      <c r="BS145" s="22">
        <f t="shared" si="163"/>
        <v>-600.19715019953765</v>
      </c>
      <c r="BT145" s="22">
        <f t="shared" si="164"/>
        <v>-1155.7712992074755</v>
      </c>
      <c r="BU145" s="22">
        <f>IF(U145&lt;0,PMT(BQ145/12,Dane_kredytowe!F$13-SUM(AB$5:AB145)+1,BR145),0)</f>
        <v>-1755.9684494070132</v>
      </c>
      <c r="BV145" s="22">
        <f t="shared" si="157"/>
        <v>324.11541148780748</v>
      </c>
      <c r="BX145" s="23">
        <f>BX$5+SUM(BZ$5:BZ144)+SUM(R$5:R144)-SUM(S$5:S144)+SUM(CB$5,CB144)</f>
        <v>246813.67176169853</v>
      </c>
      <c r="BY145" s="22">
        <f t="shared" si="150"/>
        <v>-896.75634073417132</v>
      </c>
      <c r="BZ145" s="22">
        <f t="shared" si="151"/>
        <v>-833.82997216790045</v>
      </c>
      <c r="CA145" s="22">
        <f t="shared" si="165"/>
        <v>-1730.5863129020718</v>
      </c>
      <c r="CB145" s="22">
        <f t="shared" si="166"/>
        <v>298.73327498286608</v>
      </c>
      <c r="CD145" s="22">
        <f>CD$5+SUM(CE$5:CE144)+SUM(R$5:R144)-SUM(S$5:S144)-SUM(CF$5:CF144)</f>
        <v>306118.6172482376</v>
      </c>
      <c r="CE145" s="22">
        <f t="shared" si="158"/>
        <v>896.75634073417132</v>
      </c>
      <c r="CF145" s="22">
        <f t="shared" si="152"/>
        <v>1431.8530379192057</v>
      </c>
      <c r="CG145" s="22">
        <f t="shared" si="159"/>
        <v>535.09669718503437</v>
      </c>
      <c r="CI145" s="89">
        <f t="shared" si="153"/>
        <v>0.4582</v>
      </c>
      <c r="CJ145" s="22">
        <f t="shared" si="154"/>
        <v>-656.08</v>
      </c>
      <c r="CK145" s="15">
        <f t="shared" si="160"/>
        <v>0</v>
      </c>
      <c r="CM145" s="22">
        <f t="shared" si="161"/>
        <v>-86996.551192301762</v>
      </c>
      <c r="CN145" s="15">
        <f t="shared" si="167"/>
        <v>-195.01726892274311</v>
      </c>
    </row>
    <row r="146" spans="1:92">
      <c r="A146" s="25"/>
      <c r="B146" s="80">
        <v>41548</v>
      </c>
      <c r="C146" s="81">
        <f t="shared" si="131"/>
        <v>3.4033000000000002</v>
      </c>
      <c r="D146" s="82">
        <f t="shared" si="162"/>
        <v>3.5053990000000002</v>
      </c>
      <c r="E146" s="73">
        <f t="shared" si="115"/>
        <v>-404.71296995664608</v>
      </c>
      <c r="F146" s="19">
        <f t="shared" si="127"/>
        <v>-1418.6804401730574</v>
      </c>
      <c r="G146" s="19">
        <f t="shared" si="116"/>
        <v>-1276.2346155850764</v>
      </c>
      <c r="H146" s="19">
        <f t="shared" si="128"/>
        <v>142.44582458798095</v>
      </c>
      <c r="I146" s="62"/>
      <c r="J146" s="15" t="str">
        <f t="shared" si="168"/>
        <v xml:space="preserve"> </v>
      </c>
      <c r="K146" s="15">
        <f>IF(B146&lt;=Dane_kredytowe!F$9,0,K145+1)</f>
        <v>66</v>
      </c>
      <c r="L146" s="83">
        <f t="shared" si="132"/>
        <v>1E-4</v>
      </c>
      <c r="M146" s="84">
        <f>L146+Dane_kredytowe!F$12</f>
        <v>3.0099999999999998E-2</v>
      </c>
      <c r="N146" s="79">
        <f>MAX(Dane_kredytowe!F$17+SUM(AA$5:AA145)-SUM(X$5:X146)+SUM(W$5:W146),0)</f>
        <v>84291.725888291068</v>
      </c>
      <c r="O146" s="85">
        <f>MAX(Dane_kredytowe!F$8+SUM(V$5:V145)-SUM(S$5:S146)+SUM(R$5:R145),0)</f>
        <v>265808.18103647535</v>
      </c>
      <c r="P146" s="67">
        <f t="shared" si="122"/>
        <v>360</v>
      </c>
      <c r="Q146" s="127" t="str">
        <f>IF(AND(K146&gt;0,K146&lt;=Dane_kredytowe!F$16),"tak","nie")</f>
        <v>nie</v>
      </c>
      <c r="R146" s="69"/>
      <c r="S146" s="86">
        <f>IF(Dane_kredytowe!F$19=B146,O145+V145,_xlfn.XLOOKUP(B146,Dane_kredytowe!M$9:M$18,Dane_kredytowe!N$9:N$18,0))</f>
        <v>0</v>
      </c>
      <c r="T146" s="71">
        <f t="shared" si="133"/>
        <v>-666.7355207664923</v>
      </c>
      <c r="U146" s="72">
        <f>IF(Q146="tak",T146,IF(P146-SUM(AB$5:AB146)+1&gt;0,IF(Dane_kredytowe!F$9&lt;B146,IF(SUM(AB$5:AB146)-Dane_kredytowe!F$16+1&gt;0,PMT(M146/12,P146+1-SUM(AB$5:AB146),O146),T146),0),0))</f>
        <v>-1276.2346155850764</v>
      </c>
      <c r="V146" s="72">
        <f t="shared" si="155"/>
        <v>-609.49909481858413</v>
      </c>
      <c r="W146" s="19" t="str">
        <f t="shared" si="156"/>
        <v xml:space="preserve"> </v>
      </c>
      <c r="X146" s="19">
        <f t="shared" si="169"/>
        <v>0</v>
      </c>
      <c r="Y146" s="73">
        <f t="shared" si="134"/>
        <v>-211.43174576979675</v>
      </c>
      <c r="Z146" s="19">
        <f>IF(P146-SUM(AB$5:AB146)+1&gt;0,IF(Dane_kredytowe!F$9&lt;B146,IF(SUM(AB$5:AB146)-Dane_kredytowe!F$16+1&gt;0,PMT(M146/12,P146+1-SUM(AB$5:AB146),N146),Y146),0),0)</f>
        <v>-404.71296995664608</v>
      </c>
      <c r="AA146" s="19">
        <f t="shared" si="125"/>
        <v>-193.28122418684933</v>
      </c>
      <c r="AB146" s="20">
        <f>IF(AND(Dane_kredytowe!F$9&lt;B146,SUM(AB$5:AB145)&lt;P145),1," ")</f>
        <v>1</v>
      </c>
      <c r="AD146" s="75">
        <f>IF(OR(B146&lt;Dane_kredytowe!F$15,Dane_kredytowe!F$15=""),-F146+S146,0)</f>
        <v>0</v>
      </c>
      <c r="AE146" s="75">
        <f t="shared" si="135"/>
        <v>404.71296995664608</v>
      </c>
      <c r="AG146" s="22">
        <f>Dane_kredytowe!F$17-SUM(AI$5:AI145)+SUM(W$42:W146)-SUM(X$42:X146)</f>
        <v>77957.56</v>
      </c>
      <c r="AH146" s="22">
        <f t="shared" si="136"/>
        <v>195.54</v>
      </c>
      <c r="AI146" s="22">
        <f t="shared" si="137"/>
        <v>264.26</v>
      </c>
      <c r="AJ146" s="22">
        <f t="shared" si="123"/>
        <v>459.79999999999995</v>
      </c>
      <c r="AK146" s="22">
        <f t="shared" si="138"/>
        <v>1611.78</v>
      </c>
      <c r="AL146" s="22">
        <f>Dane_kredytowe!F$8-SUM(AN$5:AN145)+SUM(R$42:R145)-SUM(S$42:S146)</f>
        <v>245833.54999999993</v>
      </c>
      <c r="AM146" s="22">
        <f t="shared" si="139"/>
        <v>616.63</v>
      </c>
      <c r="AN146" s="22">
        <f t="shared" si="140"/>
        <v>833.33</v>
      </c>
      <c r="AO146" s="22">
        <f t="shared" si="117"/>
        <v>1449.96</v>
      </c>
      <c r="AP146" s="22">
        <f t="shared" si="118"/>
        <v>161.81999999999994</v>
      </c>
      <c r="AR146" s="87">
        <f t="shared" si="141"/>
        <v>41548</v>
      </c>
      <c r="AS146" s="23">
        <f>AS$5+SUM(AV$5:AV145)-SUM(X$5:X146)+SUM(W$5:W146)</f>
        <v>123207.64857535707</v>
      </c>
      <c r="AT146" s="22">
        <f t="shared" si="142"/>
        <v>-309.04585184318734</v>
      </c>
      <c r="AU146" s="22">
        <f>IF(AB146=1,IF(Q146="tak",AT146,PMT(M146/12,P146+1-SUM(AB$5:AB146),AS146)),0)</f>
        <v>-591.56142374389378</v>
      </c>
      <c r="AV146" s="22">
        <f t="shared" si="119"/>
        <v>-282.51557190070645</v>
      </c>
      <c r="AW146" s="22">
        <f t="shared" si="143"/>
        <v>-2013.2609934275938</v>
      </c>
      <c r="AY146" s="23">
        <f>AY$5+SUM(BA$5:BA145)+SUM(W$5:W145)-SUM(X$5:X145)</f>
        <v>113948.72143784183</v>
      </c>
      <c r="AZ146" s="23">
        <f t="shared" si="144"/>
        <v>-309.04585184318734</v>
      </c>
      <c r="BA146" s="23">
        <f t="shared" si="145"/>
        <v>-386.27</v>
      </c>
      <c r="BB146" s="23">
        <f t="shared" si="124"/>
        <v>-695.31585184318737</v>
      </c>
      <c r="BC146" s="23">
        <f t="shared" si="146"/>
        <v>-2366.3684385779197</v>
      </c>
      <c r="BE146" s="88">
        <f t="shared" si="147"/>
        <v>2.6700000000000002E-2</v>
      </c>
      <c r="BF146" s="89">
        <f>BE146+Dane_kredytowe!F$12</f>
        <v>5.67E-2</v>
      </c>
      <c r="BG146" s="23">
        <f>BG$5+SUM(BH$5:BH145)+SUM(R$5:R145)-SUM(S$5:S145)</f>
        <v>281982.94569712272</v>
      </c>
      <c r="BH146" s="22">
        <f t="shared" si="126"/>
        <v>-441.58713691124171</v>
      </c>
      <c r="BI146" s="22">
        <f t="shared" si="121"/>
        <v>-1332.3694184189048</v>
      </c>
      <c r="BJ146" s="22">
        <f>IF(U146&lt;0,PMT(BF146/12,Dane_kredytowe!F$13-SUM(AB$5:AB146)+1,BG146),0)</f>
        <v>-1773.9565553301466</v>
      </c>
      <c r="BL146" s="23">
        <f>BL$5+SUM(BN$5:BN145)+SUM(R$5:R145)-SUM(S$5:S145)</f>
        <v>245833.33333333328</v>
      </c>
      <c r="BM146" s="23">
        <f t="shared" si="129"/>
        <v>-1161.5624999999998</v>
      </c>
      <c r="BN146" s="23">
        <f t="shared" si="148"/>
        <v>-833.33333333333314</v>
      </c>
      <c r="BO146" s="23">
        <f t="shared" si="130"/>
        <v>-1994.895833333333</v>
      </c>
      <c r="BQ146" s="89">
        <f t="shared" si="149"/>
        <v>4.3400000000000001E-2</v>
      </c>
      <c r="BR146" s="23">
        <f>BR$5+SUM(BS$5:BS145)+SUM(R$5:R145)-SUM(S$5:S145)+SUM(BV$5:BV145)</f>
        <v>317826.11070371279</v>
      </c>
      <c r="BS146" s="22">
        <f t="shared" si="163"/>
        <v>-604.72517930113554</v>
      </c>
      <c r="BT146" s="22">
        <f t="shared" si="164"/>
        <v>-1149.471100378428</v>
      </c>
      <c r="BU146" s="22">
        <f>IF(U146&lt;0,PMT(BQ146/12,Dane_kredytowe!F$13-SUM(AB$5:AB146)+1,BR146),0)</f>
        <v>-1754.1962796795635</v>
      </c>
      <c r="BV146" s="22">
        <f t="shared" si="157"/>
        <v>335.51583950650615</v>
      </c>
      <c r="BX146" s="23">
        <f>BX$5+SUM(BZ$5:BZ145)+SUM(R$5:R145)-SUM(S$5:S145)+SUM(CB$5,CB145)</f>
        <v>245971.77360178097</v>
      </c>
      <c r="BY146" s="22">
        <f t="shared" si="150"/>
        <v>-889.59791452644129</v>
      </c>
      <c r="BZ146" s="22">
        <f t="shared" si="151"/>
        <v>-833.8026223789185</v>
      </c>
      <c r="CA146" s="22">
        <f t="shared" si="165"/>
        <v>-1723.4005369053598</v>
      </c>
      <c r="CB146" s="22">
        <f t="shared" si="166"/>
        <v>304.72009673230241</v>
      </c>
      <c r="CD146" s="22">
        <f>CD$5+SUM(CE$5:CE145)+SUM(R$5:R145)-SUM(S$5:S145)-SUM(CF$5:CF145)</f>
        <v>305583.52055105253</v>
      </c>
      <c r="CE146" s="22">
        <f t="shared" si="158"/>
        <v>889.59791452644129</v>
      </c>
      <c r="CF146" s="22">
        <f t="shared" si="152"/>
        <v>1418.6804401730574</v>
      </c>
      <c r="CG146" s="22">
        <f t="shared" si="159"/>
        <v>529.08252564661609</v>
      </c>
      <c r="CI146" s="89">
        <f t="shared" si="153"/>
        <v>0.45529999999999998</v>
      </c>
      <c r="CJ146" s="22">
        <f t="shared" si="154"/>
        <v>-645.92999999999995</v>
      </c>
      <c r="CK146" s="15">
        <f t="shared" si="160"/>
        <v>0</v>
      </c>
      <c r="CM146" s="22">
        <f t="shared" si="161"/>
        <v>-88415.231632474824</v>
      </c>
      <c r="CN146" s="15">
        <f t="shared" si="167"/>
        <v>-196.72389038225651</v>
      </c>
    </row>
    <row r="147" spans="1:92">
      <c r="A147" s="25"/>
      <c r="B147" s="80">
        <v>41579</v>
      </c>
      <c r="C147" s="81">
        <f t="shared" si="131"/>
        <v>3.3996</v>
      </c>
      <c r="D147" s="82">
        <f t="shared" si="162"/>
        <v>3.5015879999999999</v>
      </c>
      <c r="E147" s="73">
        <f t="shared" si="115"/>
        <v>-404.71296995664608</v>
      </c>
      <c r="F147" s="19">
        <f t="shared" si="127"/>
        <v>-1417.1380790445523</v>
      </c>
      <c r="G147" s="19">
        <f t="shared" si="116"/>
        <v>-1276.2346155850762</v>
      </c>
      <c r="H147" s="19">
        <f t="shared" si="128"/>
        <v>140.90346345947614</v>
      </c>
      <c r="I147" s="62"/>
      <c r="J147" s="15" t="str">
        <f t="shared" si="168"/>
        <v xml:space="preserve"> </v>
      </c>
      <c r="K147" s="15">
        <f>IF(B147&lt;=Dane_kredytowe!F$9,0,K146+1)</f>
        <v>67</v>
      </c>
      <c r="L147" s="83">
        <f t="shared" si="132"/>
        <v>1E-4</v>
      </c>
      <c r="M147" s="84">
        <f>L147+Dane_kredytowe!F$12</f>
        <v>3.0099999999999998E-2</v>
      </c>
      <c r="N147" s="79">
        <f>MAX(Dane_kredytowe!F$17+SUM(AA$5:AA146)-SUM(X$5:X147)+SUM(W$5:W147),0)</f>
        <v>84098.44466410423</v>
      </c>
      <c r="O147" s="85">
        <f>MAX(Dane_kredytowe!F$8+SUM(V$5:V146)-SUM(S$5:S147)+SUM(R$5:R146),0)</f>
        <v>265198.68194165675</v>
      </c>
      <c r="P147" s="67">
        <f t="shared" si="122"/>
        <v>360</v>
      </c>
      <c r="Q147" s="127" t="str">
        <f>IF(AND(K147&gt;0,K147&lt;=Dane_kredytowe!F$16),"tak","nie")</f>
        <v>nie</v>
      </c>
      <c r="R147" s="69"/>
      <c r="S147" s="86">
        <f>IF(Dane_kredytowe!F$19=B147,O146+V146,_xlfn.XLOOKUP(B147,Dane_kredytowe!M$9:M$18,Dane_kredytowe!N$9:N$18,0))</f>
        <v>0</v>
      </c>
      <c r="T147" s="71">
        <f t="shared" si="133"/>
        <v>-665.20669387032228</v>
      </c>
      <c r="U147" s="72">
        <f>IF(Q147="tak",T147,IF(P147-SUM(AB$5:AB147)+1&gt;0,IF(Dane_kredytowe!F$9&lt;B147,IF(SUM(AB$5:AB147)-Dane_kredytowe!F$16+1&gt;0,PMT(M147/12,P147+1-SUM(AB$5:AB147),O147),T147),0),0))</f>
        <v>-1276.2346155850762</v>
      </c>
      <c r="V147" s="72">
        <f t="shared" si="155"/>
        <v>-611.02792171475392</v>
      </c>
      <c r="W147" s="19" t="str">
        <f t="shared" si="156"/>
        <v xml:space="preserve"> </v>
      </c>
      <c r="X147" s="19">
        <f t="shared" si="169"/>
        <v>0</v>
      </c>
      <c r="Y147" s="73">
        <f t="shared" si="134"/>
        <v>-210.94693203246143</v>
      </c>
      <c r="Z147" s="19">
        <f>IF(P147-SUM(AB$5:AB147)+1&gt;0,IF(Dane_kredytowe!F$9&lt;B147,IF(SUM(AB$5:AB147)-Dane_kredytowe!F$16+1&gt;0,PMT(M147/12,P147+1-SUM(AB$5:AB147),N147),Y147),0),0)</f>
        <v>-404.71296995664608</v>
      </c>
      <c r="AA147" s="19">
        <f t="shared" si="125"/>
        <v>-193.76603792418464</v>
      </c>
      <c r="AB147" s="20">
        <f>IF(AND(Dane_kredytowe!F$9&lt;B147,SUM(AB$5:AB146)&lt;P146),1," ")</f>
        <v>1</v>
      </c>
      <c r="AD147" s="75">
        <f>IF(OR(B147&lt;Dane_kredytowe!F$15,Dane_kredytowe!F$15=""),-F147+S147,0)</f>
        <v>0</v>
      </c>
      <c r="AE147" s="75">
        <f t="shared" si="135"/>
        <v>404.71296995664608</v>
      </c>
      <c r="AG147" s="22">
        <f>Dane_kredytowe!F$17-SUM(AI$5:AI146)+SUM(W$42:W147)-SUM(X$42:X147)</f>
        <v>77693.3</v>
      </c>
      <c r="AH147" s="22">
        <f t="shared" si="136"/>
        <v>194.88</v>
      </c>
      <c r="AI147" s="22">
        <f t="shared" si="137"/>
        <v>264.26</v>
      </c>
      <c r="AJ147" s="22">
        <f t="shared" si="123"/>
        <v>459.14</v>
      </c>
      <c r="AK147" s="22">
        <f t="shared" si="138"/>
        <v>1607.72</v>
      </c>
      <c r="AL147" s="22">
        <f>Dane_kredytowe!F$8-SUM(AN$5:AN146)+SUM(R$42:R146)-SUM(S$42:S147)</f>
        <v>245000.21999999991</v>
      </c>
      <c r="AM147" s="22">
        <f t="shared" si="139"/>
        <v>614.54</v>
      </c>
      <c r="AN147" s="22">
        <f t="shared" si="140"/>
        <v>833.33</v>
      </c>
      <c r="AO147" s="22">
        <f t="shared" si="117"/>
        <v>1447.87</v>
      </c>
      <c r="AP147" s="22">
        <f t="shared" si="118"/>
        <v>159.85000000000014</v>
      </c>
      <c r="AR147" s="87">
        <f t="shared" si="141"/>
        <v>41579</v>
      </c>
      <c r="AS147" s="23">
        <f>AS$5+SUM(AV$5:AV146)-SUM(X$5:X147)+SUM(W$5:W147)</f>
        <v>122925.13300345636</v>
      </c>
      <c r="AT147" s="22">
        <f t="shared" si="142"/>
        <v>-308.337208617003</v>
      </c>
      <c r="AU147" s="22">
        <f>IF(AB147=1,IF(Q147="tak",AT147,PMT(M147/12,P147+1-SUM(AB$5:AB147),AS147)),0)</f>
        <v>-591.56142374389367</v>
      </c>
      <c r="AV147" s="22">
        <f t="shared" si="119"/>
        <v>-283.22421512689067</v>
      </c>
      <c r="AW147" s="22">
        <f t="shared" si="143"/>
        <v>-2011.0722161597409</v>
      </c>
      <c r="AY147" s="23">
        <f>AY$5+SUM(BA$5:BA146)+SUM(W$5:W146)-SUM(X$5:X146)</f>
        <v>113562.45143784182</v>
      </c>
      <c r="AZ147" s="23">
        <f t="shared" si="144"/>
        <v>-308.337208617003</v>
      </c>
      <c r="BA147" s="23">
        <f t="shared" si="145"/>
        <v>-386.27</v>
      </c>
      <c r="BB147" s="23">
        <f t="shared" si="124"/>
        <v>-694.60720861700293</v>
      </c>
      <c r="BC147" s="23">
        <f t="shared" si="146"/>
        <v>-2361.3866664143629</v>
      </c>
      <c r="BE147" s="88">
        <f t="shared" si="147"/>
        <v>2.6499999999999999E-2</v>
      </c>
      <c r="BF147" s="89">
        <f>BE147+Dane_kredytowe!F$12</f>
        <v>5.6499999999999995E-2</v>
      </c>
      <c r="BG147" s="23">
        <f>BG$5+SUM(BH$5:BH146)+SUM(R$5:R146)-SUM(S$5:S146)</f>
        <v>281541.35856021149</v>
      </c>
      <c r="BH147" s="22">
        <f t="shared" si="126"/>
        <v>-444.99566196537012</v>
      </c>
      <c r="BI147" s="22">
        <f t="shared" si="121"/>
        <v>-1325.5905632209956</v>
      </c>
      <c r="BJ147" s="22">
        <f>IF(U147&lt;0,PMT(BF147/12,Dane_kredytowe!F$13-SUM(AB$5:AB147)+1,BG147),0)</f>
        <v>-1770.5862251863657</v>
      </c>
      <c r="BL147" s="23">
        <f>BL$5+SUM(BN$5:BN146)+SUM(R$5:R146)-SUM(S$5:S146)</f>
        <v>244999.99999999994</v>
      </c>
      <c r="BM147" s="23">
        <f t="shared" si="129"/>
        <v>-1153.5416666666663</v>
      </c>
      <c r="BN147" s="23">
        <f t="shared" si="148"/>
        <v>-833.33333333333314</v>
      </c>
      <c r="BO147" s="23">
        <f t="shared" si="130"/>
        <v>-1986.8749999999995</v>
      </c>
      <c r="BQ147" s="89">
        <f t="shared" si="149"/>
        <v>4.3200000000000002E-2</v>
      </c>
      <c r="BR147" s="23">
        <f>BR$5+SUM(BS$5:BS146)+SUM(R$5:R146)-SUM(S$5:S146)+SUM(BV$5:BV146)</f>
        <v>317556.90136391809</v>
      </c>
      <c r="BS147" s="22">
        <f t="shared" si="163"/>
        <v>-609.29176765668285</v>
      </c>
      <c r="BT147" s="22">
        <f t="shared" si="164"/>
        <v>-1143.2048449101051</v>
      </c>
      <c r="BU147" s="22">
        <f>IF(U147&lt;0,PMT(BQ147/12,Dane_kredytowe!F$13-SUM(AB$5:AB147)+1,BR147),0)</f>
        <v>-1752.4966125667879</v>
      </c>
      <c r="BV147" s="22">
        <f t="shared" si="157"/>
        <v>335.35853352223558</v>
      </c>
      <c r="BX147" s="23">
        <f>BX$5+SUM(BZ$5:BZ146)+SUM(R$5:R146)-SUM(S$5:S146)+SUM(CB$5,CB146)</f>
        <v>245143.9578011515</v>
      </c>
      <c r="BY147" s="22">
        <f t="shared" si="150"/>
        <v>-882.5182480841454</v>
      </c>
      <c r="BZ147" s="22">
        <f t="shared" si="151"/>
        <v>-833.8229857182024</v>
      </c>
      <c r="CA147" s="22">
        <f t="shared" si="165"/>
        <v>-1716.3412338023477</v>
      </c>
      <c r="CB147" s="22">
        <f t="shared" si="166"/>
        <v>299.20315475779535</v>
      </c>
      <c r="CD147" s="22">
        <f>CD$5+SUM(CE$5:CE146)+SUM(R$5:R146)-SUM(S$5:S146)-SUM(CF$5:CF146)</f>
        <v>305054.43802540592</v>
      </c>
      <c r="CE147" s="22">
        <f t="shared" si="158"/>
        <v>882.5182480841454</v>
      </c>
      <c r="CF147" s="22">
        <f t="shared" si="152"/>
        <v>1417.1380790445523</v>
      </c>
      <c r="CG147" s="22">
        <f t="shared" si="159"/>
        <v>534.61983096040694</v>
      </c>
      <c r="CI147" s="89">
        <f t="shared" si="153"/>
        <v>0.4582</v>
      </c>
      <c r="CJ147" s="22">
        <f t="shared" si="154"/>
        <v>-649.33000000000004</v>
      </c>
      <c r="CK147" s="15">
        <f t="shared" si="160"/>
        <v>0</v>
      </c>
      <c r="CM147" s="22">
        <f t="shared" si="161"/>
        <v>-89832.369711519379</v>
      </c>
      <c r="CN147" s="15">
        <f t="shared" si="167"/>
        <v>-198.37981644627197</v>
      </c>
    </row>
    <row r="148" spans="1:92">
      <c r="A148" s="25"/>
      <c r="B148" s="80">
        <v>41609</v>
      </c>
      <c r="C148" s="81">
        <f t="shared" si="131"/>
        <v>3.4087999999999998</v>
      </c>
      <c r="D148" s="82">
        <f t="shared" si="162"/>
        <v>3.5110639999999997</v>
      </c>
      <c r="E148" s="73">
        <f t="shared" si="115"/>
        <v>-404.71296995664608</v>
      </c>
      <c r="F148" s="19">
        <f t="shared" si="127"/>
        <v>-1420.9731391478615</v>
      </c>
      <c r="G148" s="19">
        <f t="shared" si="116"/>
        <v>-1276.2346155850762</v>
      </c>
      <c r="H148" s="19">
        <f t="shared" si="128"/>
        <v>144.7385235627853</v>
      </c>
      <c r="I148" s="62"/>
      <c r="J148" s="15" t="str">
        <f t="shared" si="168"/>
        <v xml:space="preserve"> </v>
      </c>
      <c r="K148" s="15">
        <f>IF(B148&lt;=Dane_kredytowe!F$9,0,K147+1)</f>
        <v>68</v>
      </c>
      <c r="L148" s="83">
        <f t="shared" si="132"/>
        <v>1E-4</v>
      </c>
      <c r="M148" s="84">
        <f>L148+Dane_kredytowe!F$12</f>
        <v>3.0099999999999998E-2</v>
      </c>
      <c r="N148" s="79">
        <f>MAX(Dane_kredytowe!F$17+SUM(AA$5:AA147)-SUM(X$5:X148)+SUM(W$5:W148),0)</f>
        <v>83904.678626180044</v>
      </c>
      <c r="O148" s="85">
        <f>MAX(Dane_kredytowe!F$8+SUM(V$5:V147)-SUM(S$5:S148)+SUM(R$5:R147),0)</f>
        <v>264587.65401994198</v>
      </c>
      <c r="P148" s="67">
        <f t="shared" si="122"/>
        <v>360</v>
      </c>
      <c r="Q148" s="127" t="str">
        <f>IF(AND(K148&gt;0,K148&lt;=Dane_kredytowe!F$16),"tak","nie")</f>
        <v>nie</v>
      </c>
      <c r="R148" s="69"/>
      <c r="S148" s="86">
        <f>IF(Dane_kredytowe!F$19=B148,O147+V147,_xlfn.XLOOKUP(B148,Dane_kredytowe!M$9:M$18,Dane_kredytowe!N$9:N$18,0))</f>
        <v>0</v>
      </c>
      <c r="T148" s="71">
        <f t="shared" si="133"/>
        <v>-663.67403216668777</v>
      </c>
      <c r="U148" s="72">
        <f>IF(Q148="tak",T148,IF(P148-SUM(AB$5:AB148)+1&gt;0,IF(Dane_kredytowe!F$9&lt;B148,IF(SUM(AB$5:AB148)-Dane_kredytowe!F$16+1&gt;0,PMT(M148/12,P148+1-SUM(AB$5:AB148),O148),T148),0),0))</f>
        <v>-1276.2346155850762</v>
      </c>
      <c r="V148" s="72">
        <f t="shared" si="155"/>
        <v>-612.56058341838843</v>
      </c>
      <c r="W148" s="19" t="str">
        <f t="shared" si="156"/>
        <v xml:space="preserve"> </v>
      </c>
      <c r="X148" s="19">
        <f t="shared" si="169"/>
        <v>0</v>
      </c>
      <c r="Y148" s="73">
        <f t="shared" si="134"/>
        <v>-210.46090222066826</v>
      </c>
      <c r="Z148" s="19">
        <f>IF(P148-SUM(AB$5:AB148)+1&gt;0,IF(Dane_kredytowe!F$9&lt;B148,IF(SUM(AB$5:AB148)-Dane_kredytowe!F$16+1&gt;0,PMT(M148/12,P148+1-SUM(AB$5:AB148),N148),Y148),0),0)</f>
        <v>-404.71296995664608</v>
      </c>
      <c r="AA148" s="19">
        <f t="shared" si="125"/>
        <v>-194.25206773597782</v>
      </c>
      <c r="AB148" s="20">
        <f>IF(AND(Dane_kredytowe!F$9&lt;B148,SUM(AB$5:AB147)&lt;P147),1," ")</f>
        <v>1</v>
      </c>
      <c r="AD148" s="75">
        <f>IF(OR(B148&lt;Dane_kredytowe!F$15,Dane_kredytowe!F$15=""),-F148+S148,0)</f>
        <v>0</v>
      </c>
      <c r="AE148" s="75">
        <f t="shared" si="135"/>
        <v>404.71296995664608</v>
      </c>
      <c r="AG148" s="22">
        <f>Dane_kredytowe!F$17-SUM(AI$5:AI147)+SUM(W$42:W148)-SUM(X$42:X148)</f>
        <v>77429.040000000008</v>
      </c>
      <c r="AH148" s="22">
        <f t="shared" si="136"/>
        <v>194.22</v>
      </c>
      <c r="AI148" s="22">
        <f t="shared" si="137"/>
        <v>264.26</v>
      </c>
      <c r="AJ148" s="22">
        <f t="shared" si="123"/>
        <v>458.48</v>
      </c>
      <c r="AK148" s="22">
        <f t="shared" si="138"/>
        <v>1609.75</v>
      </c>
      <c r="AL148" s="22">
        <f>Dane_kredytowe!F$8-SUM(AN$5:AN147)+SUM(R$42:R147)-SUM(S$42:S148)</f>
        <v>244166.88999999993</v>
      </c>
      <c r="AM148" s="22">
        <f t="shared" si="139"/>
        <v>612.45000000000005</v>
      </c>
      <c r="AN148" s="22">
        <f t="shared" si="140"/>
        <v>833.33</v>
      </c>
      <c r="AO148" s="22">
        <f t="shared" si="117"/>
        <v>1445.7800000000002</v>
      </c>
      <c r="AP148" s="22">
        <f t="shared" si="118"/>
        <v>163.9699999999998</v>
      </c>
      <c r="AR148" s="87">
        <f t="shared" si="141"/>
        <v>41609</v>
      </c>
      <c r="AS148" s="23">
        <f>AS$5+SUM(AV$5:AV147)-SUM(X$5:X148)+SUM(W$5:W148)</f>
        <v>122641.90878832947</v>
      </c>
      <c r="AT148" s="22">
        <f t="shared" si="142"/>
        <v>-307.62678787739304</v>
      </c>
      <c r="AU148" s="22">
        <f>IF(AB148=1,IF(Q148="tak",AT148,PMT(M148/12,P148+1-SUM(AB$5:AB148),AS148)),0)</f>
        <v>-591.56142374389367</v>
      </c>
      <c r="AV148" s="22">
        <f t="shared" si="119"/>
        <v>-283.93463586650063</v>
      </c>
      <c r="AW148" s="22">
        <f t="shared" si="143"/>
        <v>-2016.5145812581845</v>
      </c>
      <c r="AY148" s="23">
        <f>AY$5+SUM(BA$5:BA147)+SUM(W$5:W147)-SUM(X$5:X147)</f>
        <v>113176.18143784182</v>
      </c>
      <c r="AZ148" s="23">
        <f t="shared" si="144"/>
        <v>-307.62678787739304</v>
      </c>
      <c r="BA148" s="23">
        <f t="shared" si="145"/>
        <v>-386.27</v>
      </c>
      <c r="BB148" s="23">
        <f t="shared" si="124"/>
        <v>-693.89678787739308</v>
      </c>
      <c r="BC148" s="23">
        <f t="shared" si="146"/>
        <v>-2365.3553705164572</v>
      </c>
      <c r="BE148" s="88">
        <f t="shared" si="147"/>
        <v>2.6700000000000002E-2</v>
      </c>
      <c r="BF148" s="89">
        <f>BE148+Dane_kredytowe!F$12</f>
        <v>5.67E-2</v>
      </c>
      <c r="BG148" s="23">
        <f>BG$5+SUM(BH$5:BH147)+SUM(R$5:R147)-SUM(S$5:S147)</f>
        <v>281096.36289824609</v>
      </c>
      <c r="BH148" s="22">
        <f t="shared" si="126"/>
        <v>-445.76789757045435</v>
      </c>
      <c r="BI148" s="22">
        <f t="shared" si="121"/>
        <v>-1328.1803146942127</v>
      </c>
      <c r="BJ148" s="22">
        <f>IF(U148&lt;0,PMT(BF148/12,Dane_kredytowe!F$13-SUM(AB$5:AB148)+1,BG148),0)</f>
        <v>-1773.9482122646671</v>
      </c>
      <c r="BL148" s="23">
        <f>BL$5+SUM(BN$5:BN147)+SUM(R$5:R147)-SUM(S$5:S147)</f>
        <v>244166.66666666663</v>
      </c>
      <c r="BM148" s="23">
        <f t="shared" si="129"/>
        <v>-1153.6874999999998</v>
      </c>
      <c r="BN148" s="23">
        <f t="shared" si="148"/>
        <v>-833.33333333333326</v>
      </c>
      <c r="BO148" s="23">
        <f t="shared" si="130"/>
        <v>-1987.020833333333</v>
      </c>
      <c r="BQ148" s="89">
        <f t="shared" si="149"/>
        <v>4.3400000000000001E-2</v>
      </c>
      <c r="BR148" s="23">
        <f>BR$5+SUM(BS$5:BS147)+SUM(R$5:R147)-SUM(S$5:S147)+SUM(BV$5:BV147)</f>
        <v>317282.96812978369</v>
      </c>
      <c r="BS148" s="22">
        <f t="shared" si="163"/>
        <v>-610.39332768288887</v>
      </c>
      <c r="BT148" s="22">
        <f t="shared" si="164"/>
        <v>-1147.5067347360512</v>
      </c>
      <c r="BU148" s="22">
        <f>IF(U148&lt;0,PMT(BQ148/12,Dane_kredytowe!F$13-SUM(AB$5:AB148)+1,BR148),0)</f>
        <v>-1757.90006241894</v>
      </c>
      <c r="BV148" s="22">
        <f t="shared" si="157"/>
        <v>336.92692327107852</v>
      </c>
      <c r="BX148" s="23">
        <f>BX$5+SUM(BZ$5:BZ147)+SUM(R$5:R147)-SUM(S$5:S147)+SUM(CB$5,CB147)</f>
        <v>244304.61787345877</v>
      </c>
      <c r="BY148" s="22">
        <f t="shared" si="150"/>
        <v>-883.56836797567587</v>
      </c>
      <c r="BZ148" s="22">
        <f t="shared" si="151"/>
        <v>-833.80415656470575</v>
      </c>
      <c r="CA148" s="22">
        <f t="shared" si="165"/>
        <v>-1717.3725245403816</v>
      </c>
      <c r="CB148" s="22">
        <f t="shared" si="166"/>
        <v>296.39938539252012</v>
      </c>
      <c r="CD148" s="22">
        <f>CD$5+SUM(CE$5:CE147)+SUM(R$5:R147)-SUM(S$5:S147)-SUM(CF$5:CF147)</f>
        <v>304519.81819444546</v>
      </c>
      <c r="CE148" s="22">
        <f t="shared" si="158"/>
        <v>883.56836797567587</v>
      </c>
      <c r="CF148" s="22">
        <f t="shared" si="152"/>
        <v>1420.9731391478615</v>
      </c>
      <c r="CG148" s="22">
        <f t="shared" si="159"/>
        <v>537.40477117218563</v>
      </c>
      <c r="CI148" s="89">
        <f t="shared" si="153"/>
        <v>0.45669999999999999</v>
      </c>
      <c r="CJ148" s="22">
        <f t="shared" si="154"/>
        <v>-648.96</v>
      </c>
      <c r="CK148" s="15">
        <f t="shared" si="160"/>
        <v>0</v>
      </c>
      <c r="CM148" s="22">
        <f t="shared" si="161"/>
        <v>-91253.342850667235</v>
      </c>
      <c r="CN148" s="15">
        <f t="shared" si="167"/>
        <v>-203.03868784273462</v>
      </c>
    </row>
    <row r="149" spans="1:92">
      <c r="A149" s="25">
        <v>2014</v>
      </c>
      <c r="B149" s="80">
        <v>41640</v>
      </c>
      <c r="C149" s="81">
        <f t="shared" si="131"/>
        <v>3.3935</v>
      </c>
      <c r="D149" s="82">
        <f t="shared" si="162"/>
        <v>3.4953050000000001</v>
      </c>
      <c r="E149" s="73">
        <f t="shared" si="115"/>
        <v>-404.71296995664608</v>
      </c>
      <c r="F149" s="19">
        <f t="shared" si="127"/>
        <v>-1414.5952674543148</v>
      </c>
      <c r="G149" s="19">
        <f t="shared" si="116"/>
        <v>-1276.2346155850762</v>
      </c>
      <c r="H149" s="19">
        <f t="shared" si="128"/>
        <v>138.36065186923861</v>
      </c>
      <c r="I149" s="62"/>
      <c r="J149" s="15" t="str">
        <f t="shared" si="168"/>
        <v xml:space="preserve"> </v>
      </c>
      <c r="K149" s="15">
        <f>IF(B149&lt;=Dane_kredytowe!F$9,0,K148+1)</f>
        <v>69</v>
      </c>
      <c r="L149" s="83">
        <f t="shared" si="132"/>
        <v>1E-4</v>
      </c>
      <c r="M149" s="84">
        <f>L149+Dane_kredytowe!F$12</f>
        <v>3.0099999999999998E-2</v>
      </c>
      <c r="N149" s="79">
        <f>MAX(Dane_kredytowe!F$17+SUM(AA$5:AA148)-SUM(X$5:X149)+SUM(W$5:W149),0)</f>
        <v>83710.426558444058</v>
      </c>
      <c r="O149" s="85">
        <f>MAX(Dane_kredytowe!F$8+SUM(V$5:V148)-SUM(S$5:S149)+SUM(R$5:R148),0)</f>
        <v>263975.09343652357</v>
      </c>
      <c r="P149" s="67">
        <f t="shared" si="122"/>
        <v>360</v>
      </c>
      <c r="Q149" s="127" t="str">
        <f>IF(AND(K149&gt;0,K149&lt;=Dane_kredytowe!F$16),"tak","nie")</f>
        <v>nie</v>
      </c>
      <c r="R149" s="69"/>
      <c r="S149" s="86">
        <f>IF(Dane_kredytowe!F$19=B149,O148+V148,_xlfn.XLOOKUP(B149,Dane_kredytowe!M$9:M$18,Dane_kredytowe!N$9:N$18,0))</f>
        <v>0</v>
      </c>
      <c r="T149" s="71">
        <f t="shared" si="133"/>
        <v>-662.13752603661328</v>
      </c>
      <c r="U149" s="72">
        <f>IF(Q149="tak",T149,IF(P149-SUM(AB$5:AB149)+1&gt;0,IF(Dane_kredytowe!F$9&lt;B149,IF(SUM(AB$5:AB149)-Dane_kredytowe!F$16+1&gt;0,PMT(M149/12,P149+1-SUM(AB$5:AB149),O149),T149),0),0))</f>
        <v>-1276.2346155850762</v>
      </c>
      <c r="V149" s="72">
        <f t="shared" si="155"/>
        <v>-614.09708954846292</v>
      </c>
      <c r="W149" s="19" t="str">
        <f t="shared" si="156"/>
        <v xml:space="preserve"> </v>
      </c>
      <c r="X149" s="19">
        <f t="shared" si="169"/>
        <v>0</v>
      </c>
      <c r="Y149" s="73">
        <f t="shared" si="134"/>
        <v>-209.97365328409717</v>
      </c>
      <c r="Z149" s="19">
        <f>IF(P149-SUM(AB$5:AB149)+1&gt;0,IF(Dane_kredytowe!F$9&lt;B149,IF(SUM(AB$5:AB149)-Dane_kredytowe!F$16+1&gt;0,PMT(M149/12,P149+1-SUM(AB$5:AB149),N149),Y149),0),0)</f>
        <v>-404.71296995664608</v>
      </c>
      <c r="AA149" s="19">
        <f t="shared" si="125"/>
        <v>-194.73931667254891</v>
      </c>
      <c r="AB149" s="20">
        <f>IF(AND(Dane_kredytowe!F$9&lt;B149,SUM(AB$5:AB148)&lt;P148),1," ")</f>
        <v>1</v>
      </c>
      <c r="AD149" s="75">
        <f>IF(OR(B149&lt;Dane_kredytowe!F$15,Dane_kredytowe!F$15=""),-F149+S149,0)</f>
        <v>0</v>
      </c>
      <c r="AE149" s="75">
        <f t="shared" si="135"/>
        <v>404.71296995664608</v>
      </c>
      <c r="AG149" s="22">
        <f>Dane_kredytowe!F$17-SUM(AI$5:AI148)+SUM(W$42:W149)-SUM(X$42:X149)</f>
        <v>77164.78</v>
      </c>
      <c r="AH149" s="22">
        <f t="shared" si="136"/>
        <v>193.55</v>
      </c>
      <c r="AI149" s="22">
        <f t="shared" si="137"/>
        <v>264.26</v>
      </c>
      <c r="AJ149" s="22">
        <f t="shared" si="123"/>
        <v>457.81</v>
      </c>
      <c r="AK149" s="22">
        <f t="shared" si="138"/>
        <v>1600.19</v>
      </c>
      <c r="AL149" s="22">
        <f>Dane_kredytowe!F$8-SUM(AN$5:AN148)+SUM(R$42:R148)-SUM(S$42:S149)</f>
        <v>243333.55999999991</v>
      </c>
      <c r="AM149" s="22">
        <f t="shared" si="139"/>
        <v>610.36</v>
      </c>
      <c r="AN149" s="22">
        <f t="shared" si="140"/>
        <v>833.33</v>
      </c>
      <c r="AO149" s="22">
        <f t="shared" si="117"/>
        <v>1443.69</v>
      </c>
      <c r="AP149" s="22">
        <f t="shared" si="118"/>
        <v>156.5</v>
      </c>
      <c r="AR149" s="87">
        <f t="shared" si="141"/>
        <v>41640</v>
      </c>
      <c r="AS149" s="23">
        <f>AS$5+SUM(AV$5:AV148)-SUM(X$5:X149)+SUM(W$5:W149)</f>
        <v>122357.97415246296</v>
      </c>
      <c r="AT149" s="22">
        <f t="shared" si="142"/>
        <v>-306.91458516576125</v>
      </c>
      <c r="AU149" s="22">
        <f>IF(AB149=1,IF(Q149="tak",AT149,PMT(M149/12,P149+1-SUM(AB$5:AB149),AS149)),0)</f>
        <v>-591.56142374389367</v>
      </c>
      <c r="AV149" s="22">
        <f t="shared" si="119"/>
        <v>-284.64683857813242</v>
      </c>
      <c r="AW149" s="22">
        <f t="shared" si="143"/>
        <v>-2007.463691474903</v>
      </c>
      <c r="AY149" s="23">
        <f>AY$5+SUM(BA$5:BA148)+SUM(W$5:W148)-SUM(X$5:X148)</f>
        <v>112789.91143784183</v>
      </c>
      <c r="AZ149" s="23">
        <f t="shared" si="144"/>
        <v>-306.91458516576125</v>
      </c>
      <c r="BA149" s="23">
        <f t="shared" si="145"/>
        <v>-386.27</v>
      </c>
      <c r="BB149" s="23">
        <f t="shared" si="124"/>
        <v>-693.18458516576129</v>
      </c>
      <c r="BC149" s="23">
        <f t="shared" si="146"/>
        <v>-2352.3218897600109</v>
      </c>
      <c r="BE149" s="88">
        <f t="shared" si="147"/>
        <v>2.7E-2</v>
      </c>
      <c r="BF149" s="89">
        <f>BE149+Dane_kredytowe!F$12</f>
        <v>5.6999999999999995E-2</v>
      </c>
      <c r="BG149" s="23">
        <f>BG$5+SUM(BH$5:BH148)+SUM(R$5:R148)-SUM(S$5:S148)</f>
        <v>280650.59500067565</v>
      </c>
      <c r="BH149" s="22">
        <f t="shared" si="126"/>
        <v>-445.89420958165215</v>
      </c>
      <c r="BI149" s="22">
        <f t="shared" si="121"/>
        <v>-1333.0903262532092</v>
      </c>
      <c r="BJ149" s="22">
        <f>IF(U149&lt;0,PMT(BF149/12,Dane_kredytowe!F$13-SUM(AB$5:AB149)+1,BG149),0)</f>
        <v>-1778.9845358348614</v>
      </c>
      <c r="BL149" s="23">
        <f>BL$5+SUM(BN$5:BN148)+SUM(R$5:R148)-SUM(S$5:S148)</f>
        <v>243333.33333333328</v>
      </c>
      <c r="BM149" s="23">
        <f t="shared" si="129"/>
        <v>-1155.833333333333</v>
      </c>
      <c r="BN149" s="23">
        <f t="shared" si="148"/>
        <v>-833.33333333333314</v>
      </c>
      <c r="BO149" s="23">
        <f t="shared" si="130"/>
        <v>-1989.1666666666661</v>
      </c>
      <c r="BQ149" s="89">
        <f t="shared" si="149"/>
        <v>4.3700000000000003E-2</v>
      </c>
      <c r="BR149" s="23">
        <f>BR$5+SUM(BS$5:BS148)+SUM(R$5:R148)-SUM(S$5:S148)+SUM(BV$5:BV148)</f>
        <v>317009.50172537187</v>
      </c>
      <c r="BS149" s="22">
        <f t="shared" si="163"/>
        <v>-610.64954990360729</v>
      </c>
      <c r="BT149" s="22">
        <f t="shared" si="164"/>
        <v>-1154.4429354498959</v>
      </c>
      <c r="BU149" s="22">
        <f>IF(U149&lt;0,PMT(BQ149/12,Dane_kredytowe!F$13-SUM(AB$5:AB149)+1,BR149),0)</f>
        <v>-1765.0924853535032</v>
      </c>
      <c r="BV149" s="22">
        <f t="shared" si="157"/>
        <v>350.4972178991884</v>
      </c>
      <c r="BX149" s="23">
        <f>BX$5+SUM(BZ$5:BZ148)+SUM(R$5:R148)-SUM(S$5:S148)+SUM(CB$5,CB148)</f>
        <v>243468.00994752877</v>
      </c>
      <c r="BY149" s="22">
        <f t="shared" si="150"/>
        <v>-886.6293362255841</v>
      </c>
      <c r="BZ149" s="22">
        <f t="shared" si="151"/>
        <v>-833.79455461482451</v>
      </c>
      <c r="CA149" s="22">
        <f t="shared" si="165"/>
        <v>-1720.4238908404086</v>
      </c>
      <c r="CB149" s="22">
        <f t="shared" si="166"/>
        <v>305.8286233860938</v>
      </c>
      <c r="CD149" s="22">
        <f>CD$5+SUM(CE$5:CE148)+SUM(R$5:R148)-SUM(S$5:S148)-SUM(CF$5:CF148)</f>
        <v>303982.4134232733</v>
      </c>
      <c r="CE149" s="22">
        <f t="shared" si="158"/>
        <v>886.6293362255841</v>
      </c>
      <c r="CF149" s="22">
        <f t="shared" si="152"/>
        <v>1414.5952674543148</v>
      </c>
      <c r="CG149" s="22">
        <f t="shared" si="159"/>
        <v>527.96593122873071</v>
      </c>
      <c r="CI149" s="89">
        <f t="shared" si="153"/>
        <v>0.45529999999999998</v>
      </c>
      <c r="CJ149" s="22">
        <f t="shared" si="154"/>
        <v>-644.07000000000005</v>
      </c>
      <c r="CK149" s="15">
        <f t="shared" si="160"/>
        <v>0</v>
      </c>
      <c r="CM149" s="22">
        <f t="shared" si="161"/>
        <v>-92667.938118121543</v>
      </c>
      <c r="CN149" s="15">
        <f t="shared" si="167"/>
        <v>-208.50286076577348</v>
      </c>
    </row>
    <row r="150" spans="1:92">
      <c r="A150" s="25"/>
      <c r="B150" s="80">
        <v>41671</v>
      </c>
      <c r="C150" s="81">
        <f t="shared" si="131"/>
        <v>3.4205000000000001</v>
      </c>
      <c r="D150" s="82">
        <f t="shared" si="162"/>
        <v>3.5231150000000002</v>
      </c>
      <c r="E150" s="73">
        <f t="shared" si="115"/>
        <v>-404.71296995664613</v>
      </c>
      <c r="F150" s="19">
        <f t="shared" si="127"/>
        <v>-1425.8503351488093</v>
      </c>
      <c r="G150" s="19">
        <f t="shared" si="116"/>
        <v>-1276.2346155850762</v>
      </c>
      <c r="H150" s="19">
        <f t="shared" si="128"/>
        <v>149.61571956373314</v>
      </c>
      <c r="I150" s="62"/>
      <c r="J150" s="15" t="str">
        <f t="shared" si="168"/>
        <v xml:space="preserve"> </v>
      </c>
      <c r="K150" s="15">
        <f>IF(B150&lt;=Dane_kredytowe!F$9,0,K149+1)</f>
        <v>70</v>
      </c>
      <c r="L150" s="83">
        <f t="shared" si="132"/>
        <v>1E-4</v>
      </c>
      <c r="M150" s="84">
        <f>L150+Dane_kredytowe!F$12</f>
        <v>3.0099999999999998E-2</v>
      </c>
      <c r="N150" s="79">
        <f>MAX(Dane_kredytowe!F$17+SUM(AA$5:AA149)-SUM(X$5:X150)+SUM(W$5:W150),0)</f>
        <v>83515.68724177152</v>
      </c>
      <c r="O150" s="85">
        <f>MAX(Dane_kredytowe!F$8+SUM(V$5:V149)-SUM(S$5:S150)+SUM(R$5:R149),0)</f>
        <v>263360.99634697515</v>
      </c>
      <c r="P150" s="67">
        <f t="shared" si="122"/>
        <v>360</v>
      </c>
      <c r="Q150" s="127" t="str">
        <f>IF(AND(K150&gt;0,K150&lt;=Dane_kredytowe!F$16),"tak","nie")</f>
        <v>nie</v>
      </c>
      <c r="R150" s="69"/>
      <c r="S150" s="86">
        <f>IF(Dane_kredytowe!F$19=B150,O149+V149,_xlfn.XLOOKUP(B150,Dane_kredytowe!M$9:M$18,Dane_kredytowe!N$9:N$18,0))</f>
        <v>0</v>
      </c>
      <c r="T150" s="71">
        <f t="shared" si="133"/>
        <v>-660.59716583699594</v>
      </c>
      <c r="U150" s="72">
        <f>IF(Q150="tak",T150,IF(P150-SUM(AB$5:AB150)+1&gt;0,IF(Dane_kredytowe!F$9&lt;B150,IF(SUM(AB$5:AB150)-Dane_kredytowe!F$16+1&gt;0,PMT(M150/12,P150+1-SUM(AB$5:AB150),O150),T150),0),0))</f>
        <v>-1276.2346155850762</v>
      </c>
      <c r="V150" s="72">
        <f t="shared" si="155"/>
        <v>-615.63744974808026</v>
      </c>
      <c r="W150" s="19" t="str">
        <f t="shared" si="156"/>
        <v xml:space="preserve"> </v>
      </c>
      <c r="X150" s="19">
        <f t="shared" si="169"/>
        <v>0</v>
      </c>
      <c r="Y150" s="73">
        <f t="shared" si="134"/>
        <v>-209.48518216477689</v>
      </c>
      <c r="Z150" s="19">
        <f>IF(P150-SUM(AB$5:AB150)+1&gt;0,IF(Dane_kredytowe!F$9&lt;B150,IF(SUM(AB$5:AB150)-Dane_kredytowe!F$16+1&gt;0,PMT(M150/12,P150+1-SUM(AB$5:AB150),N150),Y150),0),0)</f>
        <v>-404.71296995664613</v>
      </c>
      <c r="AA150" s="19">
        <f t="shared" si="125"/>
        <v>-195.22778779186925</v>
      </c>
      <c r="AB150" s="20">
        <f>IF(AND(Dane_kredytowe!F$9&lt;B150,SUM(AB$5:AB149)&lt;P149),1," ")</f>
        <v>1</v>
      </c>
      <c r="AD150" s="75">
        <f>IF(OR(B150&lt;Dane_kredytowe!F$15,Dane_kredytowe!F$15=""),-F150+S150,0)</f>
        <v>0</v>
      </c>
      <c r="AE150" s="75">
        <f t="shared" si="135"/>
        <v>404.71296995664613</v>
      </c>
      <c r="AG150" s="22">
        <f>Dane_kredytowe!F$17-SUM(AI$5:AI149)+SUM(W$42:W150)-SUM(X$42:X150)</f>
        <v>76900.52</v>
      </c>
      <c r="AH150" s="22">
        <f t="shared" si="136"/>
        <v>192.89</v>
      </c>
      <c r="AI150" s="22">
        <f t="shared" si="137"/>
        <v>264.26</v>
      </c>
      <c r="AJ150" s="22">
        <f t="shared" si="123"/>
        <v>457.15</v>
      </c>
      <c r="AK150" s="22">
        <f t="shared" si="138"/>
        <v>1610.59</v>
      </c>
      <c r="AL150" s="22">
        <f>Dane_kredytowe!F$8-SUM(AN$5:AN149)+SUM(R$42:R149)-SUM(S$42:S150)</f>
        <v>242500.22999999992</v>
      </c>
      <c r="AM150" s="22">
        <f t="shared" si="139"/>
        <v>608.27</v>
      </c>
      <c r="AN150" s="22">
        <f t="shared" si="140"/>
        <v>833.33</v>
      </c>
      <c r="AO150" s="22">
        <f t="shared" si="117"/>
        <v>1441.6</v>
      </c>
      <c r="AP150" s="22">
        <f t="shared" si="118"/>
        <v>168.99</v>
      </c>
      <c r="AR150" s="87">
        <f t="shared" si="141"/>
        <v>41671</v>
      </c>
      <c r="AS150" s="23">
        <f>AS$5+SUM(AV$5:AV149)-SUM(X$5:X150)+SUM(W$5:W150)</f>
        <v>122073.32731388483</v>
      </c>
      <c r="AT150" s="22">
        <f t="shared" si="142"/>
        <v>-306.20059601232776</v>
      </c>
      <c r="AU150" s="22">
        <f>IF(AB150=1,IF(Q150="tak",AT150,PMT(M150/12,P150+1-SUM(AB$5:AB150),AS150)),0)</f>
        <v>-591.56142374389367</v>
      </c>
      <c r="AV150" s="22">
        <f t="shared" si="119"/>
        <v>-285.36082773156591</v>
      </c>
      <c r="AW150" s="22">
        <f t="shared" si="143"/>
        <v>-2023.4358499159885</v>
      </c>
      <c r="AY150" s="23">
        <f>AY$5+SUM(BA$5:BA149)+SUM(W$5:W149)-SUM(X$5:X149)</f>
        <v>112403.64143784183</v>
      </c>
      <c r="AZ150" s="23">
        <f t="shared" si="144"/>
        <v>-306.20059601232776</v>
      </c>
      <c r="BA150" s="23">
        <f t="shared" si="145"/>
        <v>-386.27</v>
      </c>
      <c r="BB150" s="23">
        <f t="shared" si="124"/>
        <v>-692.47059601232775</v>
      </c>
      <c r="BC150" s="23">
        <f t="shared" si="146"/>
        <v>-2368.595673660167</v>
      </c>
      <c r="BE150" s="88">
        <f t="shared" si="147"/>
        <v>2.7099999999999999E-2</v>
      </c>
      <c r="BF150" s="89">
        <f>BE150+Dane_kredytowe!F$12</f>
        <v>5.7099999999999998E-2</v>
      </c>
      <c r="BG150" s="23">
        <f>BG$5+SUM(BH$5:BH149)+SUM(R$5:R149)-SUM(S$5:S149)</f>
        <v>280204.70079109399</v>
      </c>
      <c r="BH150" s="22">
        <f t="shared" si="126"/>
        <v>-447.35331954665367</v>
      </c>
      <c r="BI150" s="22">
        <f t="shared" si="121"/>
        <v>-1333.3073679309555</v>
      </c>
      <c r="BJ150" s="22">
        <f>IF(U150&lt;0,PMT(BF150/12,Dane_kredytowe!F$13-SUM(AB$5:AB150)+1,BG150),0)</f>
        <v>-1780.6606874776091</v>
      </c>
      <c r="BL150" s="23">
        <f>BL$5+SUM(BN$5:BN149)+SUM(R$5:R149)-SUM(S$5:S149)</f>
        <v>242499.99999999994</v>
      </c>
      <c r="BM150" s="23">
        <f t="shared" si="129"/>
        <v>-1153.895833333333</v>
      </c>
      <c r="BN150" s="23">
        <f t="shared" si="148"/>
        <v>-833.33333333333314</v>
      </c>
      <c r="BO150" s="23">
        <f t="shared" si="130"/>
        <v>-1987.2291666666661</v>
      </c>
      <c r="BQ150" s="89">
        <f t="shared" si="149"/>
        <v>4.3799999999999999E-2</v>
      </c>
      <c r="BR150" s="23">
        <f>BR$5+SUM(BS$5:BS149)+SUM(R$5:R149)-SUM(S$5:S149)+SUM(BV$5:BV149)</f>
        <v>316749.34939336742</v>
      </c>
      <c r="BS150" s="22">
        <f t="shared" si="163"/>
        <v>-612.68574012562794</v>
      </c>
      <c r="BT150" s="22">
        <f t="shared" si="164"/>
        <v>-1156.135125285791</v>
      </c>
      <c r="BU150" s="22">
        <f>IF(U150&lt;0,PMT(BQ150/12,Dane_kredytowe!F$13-SUM(AB$5:AB150)+1,BR150),0)</f>
        <v>-1768.8208654114189</v>
      </c>
      <c r="BV150" s="22">
        <f t="shared" si="157"/>
        <v>342.9705302626096</v>
      </c>
      <c r="BX150" s="23">
        <f>BX$5+SUM(BZ$5:BZ149)+SUM(R$5:R149)-SUM(S$5:S149)+SUM(CB$5,CB149)</f>
        <v>242643.64463090754</v>
      </c>
      <c r="BY150" s="22">
        <f t="shared" si="150"/>
        <v>-885.64930290281245</v>
      </c>
      <c r="BZ150" s="22">
        <f t="shared" si="151"/>
        <v>-833.82695749452762</v>
      </c>
      <c r="CA150" s="22">
        <f t="shared" si="165"/>
        <v>-1719.47626039734</v>
      </c>
      <c r="CB150" s="22">
        <f t="shared" si="166"/>
        <v>293.62592524853062</v>
      </c>
      <c r="CD150" s="22">
        <f>CD$5+SUM(CE$5:CE149)+SUM(R$5:R149)-SUM(S$5:S149)-SUM(CF$5:CF149)</f>
        <v>303454.44749204459</v>
      </c>
      <c r="CE150" s="22">
        <f t="shared" si="158"/>
        <v>885.64930290281245</v>
      </c>
      <c r="CF150" s="22">
        <f t="shared" si="152"/>
        <v>1425.8503351488093</v>
      </c>
      <c r="CG150" s="22">
        <f t="shared" si="159"/>
        <v>540.20103224599688</v>
      </c>
      <c r="CI150" s="89">
        <f t="shared" si="153"/>
        <v>0.45379999999999998</v>
      </c>
      <c r="CJ150" s="22">
        <f t="shared" si="154"/>
        <v>-647.04999999999995</v>
      </c>
      <c r="CK150" s="15">
        <f t="shared" si="160"/>
        <v>0</v>
      </c>
      <c r="CM150" s="22">
        <f t="shared" si="161"/>
        <v>-94093.788453270347</v>
      </c>
      <c r="CN150" s="15">
        <f t="shared" si="167"/>
        <v>-212.49513892363552</v>
      </c>
    </row>
    <row r="151" spans="1:92">
      <c r="A151" s="25"/>
      <c r="B151" s="80">
        <v>41699</v>
      </c>
      <c r="C151" s="81">
        <f t="shared" si="131"/>
        <v>3.4470999999999998</v>
      </c>
      <c r="D151" s="82">
        <f t="shared" si="162"/>
        <v>3.550513</v>
      </c>
      <c r="E151" s="73">
        <f t="shared" si="115"/>
        <v>-404.71296995664608</v>
      </c>
      <c r="F151" s="19">
        <f t="shared" si="127"/>
        <v>-1436.9386610996814</v>
      </c>
      <c r="G151" s="19">
        <f t="shared" si="116"/>
        <v>-1276.2346155850762</v>
      </c>
      <c r="H151" s="19">
        <f t="shared" si="128"/>
        <v>160.70404551460524</v>
      </c>
      <c r="I151" s="62"/>
      <c r="J151" s="15" t="str">
        <f t="shared" si="168"/>
        <v xml:space="preserve"> </v>
      </c>
      <c r="K151" s="15">
        <f>IF(B151&lt;=Dane_kredytowe!F$9,0,K150+1)</f>
        <v>71</v>
      </c>
      <c r="L151" s="83">
        <f t="shared" si="132"/>
        <v>1E-4</v>
      </c>
      <c r="M151" s="84">
        <f>L151+Dane_kredytowe!F$12</f>
        <v>3.0099999999999998E-2</v>
      </c>
      <c r="N151" s="79">
        <f>MAX(Dane_kredytowe!F$17+SUM(AA$5:AA150)-SUM(X$5:X151)+SUM(W$5:W151),0)</f>
        <v>83320.459453979638</v>
      </c>
      <c r="O151" s="85">
        <f>MAX(Dane_kredytowe!F$8+SUM(V$5:V150)-SUM(S$5:S151)+SUM(R$5:R150),0)</f>
        <v>262745.35889722704</v>
      </c>
      <c r="P151" s="67">
        <f t="shared" si="122"/>
        <v>360</v>
      </c>
      <c r="Q151" s="127" t="str">
        <f>IF(AND(K151&gt;0,K151&lt;=Dane_kredytowe!F$16),"tak","nie")</f>
        <v>nie</v>
      </c>
      <c r="R151" s="69"/>
      <c r="S151" s="86">
        <f>IF(Dane_kredytowe!F$19=B151,O150+V150,_xlfn.XLOOKUP(B151,Dane_kredytowe!M$9:M$18,Dane_kredytowe!N$9:N$18,0))</f>
        <v>0</v>
      </c>
      <c r="T151" s="71">
        <f t="shared" si="133"/>
        <v>-659.0529419005444</v>
      </c>
      <c r="U151" s="72">
        <f>IF(Q151="tak",T151,IF(P151-SUM(AB$5:AB151)+1&gt;0,IF(Dane_kredytowe!F$9&lt;B151,IF(SUM(AB$5:AB151)-Dane_kredytowe!F$16+1&gt;0,PMT(M151/12,P151+1-SUM(AB$5:AB151),O151),T151),0),0))</f>
        <v>-1276.2346155850762</v>
      </c>
      <c r="V151" s="72">
        <f t="shared" si="155"/>
        <v>-617.1816736845318</v>
      </c>
      <c r="W151" s="19" t="str">
        <f t="shared" si="156"/>
        <v xml:space="preserve"> </v>
      </c>
      <c r="X151" s="19">
        <f t="shared" si="169"/>
        <v>0</v>
      </c>
      <c r="Y151" s="73">
        <f t="shared" si="134"/>
        <v>-208.99548579706558</v>
      </c>
      <c r="Z151" s="19">
        <f>IF(P151-SUM(AB$5:AB151)+1&gt;0,IF(Dane_kredytowe!F$9&lt;B151,IF(SUM(AB$5:AB151)-Dane_kredytowe!F$16+1&gt;0,PMT(M151/12,P151+1-SUM(AB$5:AB151),N151),Y151),0),0)</f>
        <v>-404.71296995664608</v>
      </c>
      <c r="AA151" s="19">
        <f t="shared" si="125"/>
        <v>-195.71748415958049</v>
      </c>
      <c r="AB151" s="20">
        <f>IF(AND(Dane_kredytowe!F$9&lt;B151,SUM(AB$5:AB150)&lt;P150),1," ")</f>
        <v>1</v>
      </c>
      <c r="AD151" s="75">
        <f>IF(OR(B151&lt;Dane_kredytowe!F$15,Dane_kredytowe!F$15=""),-F151+S151,0)</f>
        <v>0</v>
      </c>
      <c r="AE151" s="75">
        <f t="shared" si="135"/>
        <v>404.71296995664608</v>
      </c>
      <c r="AG151" s="22">
        <f>Dane_kredytowe!F$17-SUM(AI$5:AI150)+SUM(W$42:W151)-SUM(X$42:X151)</f>
        <v>76636.260000000009</v>
      </c>
      <c r="AH151" s="22">
        <f t="shared" si="136"/>
        <v>192.23</v>
      </c>
      <c r="AI151" s="22">
        <f t="shared" si="137"/>
        <v>264.26</v>
      </c>
      <c r="AJ151" s="22">
        <f t="shared" si="123"/>
        <v>456.49</v>
      </c>
      <c r="AK151" s="22">
        <f t="shared" si="138"/>
        <v>1620.77</v>
      </c>
      <c r="AL151" s="22">
        <f>Dane_kredytowe!F$8-SUM(AN$5:AN150)+SUM(R$42:R150)-SUM(S$42:S151)</f>
        <v>241666.89999999991</v>
      </c>
      <c r="AM151" s="22">
        <f t="shared" si="139"/>
        <v>606.17999999999995</v>
      </c>
      <c r="AN151" s="22">
        <f t="shared" si="140"/>
        <v>833.33</v>
      </c>
      <c r="AO151" s="22">
        <f t="shared" si="117"/>
        <v>1439.51</v>
      </c>
      <c r="AP151" s="22">
        <f t="shared" si="118"/>
        <v>181.26</v>
      </c>
      <c r="AR151" s="87">
        <f t="shared" si="141"/>
        <v>41699</v>
      </c>
      <c r="AS151" s="23">
        <f>AS$5+SUM(AV$5:AV150)-SUM(X$5:X151)+SUM(W$5:W151)</f>
        <v>121787.96648615328</v>
      </c>
      <c r="AT151" s="22">
        <f t="shared" si="142"/>
        <v>-305.48481593610114</v>
      </c>
      <c r="AU151" s="22">
        <f>IF(AB151=1,IF(Q151="tak",AT151,PMT(M151/12,P151+1-SUM(AB$5:AB151),AS151)),0)</f>
        <v>-591.5614237438939</v>
      </c>
      <c r="AV151" s="22">
        <f t="shared" si="119"/>
        <v>-286.07660780779275</v>
      </c>
      <c r="AW151" s="22">
        <f t="shared" si="143"/>
        <v>-2039.1713837875766</v>
      </c>
      <c r="AY151" s="23">
        <f>AY$5+SUM(BA$5:BA150)+SUM(W$5:W150)-SUM(X$5:X150)</f>
        <v>112017.37143784182</v>
      </c>
      <c r="AZ151" s="23">
        <f t="shared" si="144"/>
        <v>-305.48481593610114</v>
      </c>
      <c r="BA151" s="23">
        <f t="shared" si="145"/>
        <v>-386.27</v>
      </c>
      <c r="BB151" s="23">
        <f t="shared" si="124"/>
        <v>-691.75481593610107</v>
      </c>
      <c r="BC151" s="23">
        <f t="shared" si="146"/>
        <v>-2384.548026013334</v>
      </c>
      <c r="BE151" s="88">
        <f t="shared" si="147"/>
        <v>2.7099999999999999E-2</v>
      </c>
      <c r="BF151" s="89">
        <f>BE151+Dane_kredytowe!F$12</f>
        <v>5.7099999999999998E-2</v>
      </c>
      <c r="BG151" s="23">
        <f>BG$5+SUM(BH$5:BH150)+SUM(R$5:R150)-SUM(S$5:S150)</f>
        <v>279757.34747154731</v>
      </c>
      <c r="BH151" s="22">
        <f t="shared" si="126"/>
        <v>-449.48197575882978</v>
      </c>
      <c r="BI151" s="22">
        <f t="shared" si="121"/>
        <v>-1331.1787117187794</v>
      </c>
      <c r="BJ151" s="22">
        <f>IF(U151&lt;0,PMT(BF151/12,Dane_kredytowe!F$13-SUM(AB$5:AB151)+1,BG151),0)</f>
        <v>-1780.6606874776091</v>
      </c>
      <c r="BL151" s="23">
        <f>BL$5+SUM(BN$5:BN150)+SUM(R$5:R150)-SUM(S$5:S150)</f>
        <v>241666.66666666663</v>
      </c>
      <c r="BM151" s="23">
        <f t="shared" si="129"/>
        <v>-1149.9305555555554</v>
      </c>
      <c r="BN151" s="23">
        <f t="shared" si="148"/>
        <v>-833.33333333333314</v>
      </c>
      <c r="BO151" s="23">
        <f t="shared" si="130"/>
        <v>-1983.2638888888887</v>
      </c>
      <c r="BQ151" s="89">
        <f t="shared" si="149"/>
        <v>4.3799999999999999E-2</v>
      </c>
      <c r="BR151" s="23">
        <f>BR$5+SUM(BS$5:BS150)+SUM(R$5:R150)-SUM(S$5:S150)+SUM(BV$5:BV150)</f>
        <v>316479.63418350444</v>
      </c>
      <c r="BS151" s="22">
        <f t="shared" si="163"/>
        <v>-615.58916006613504</v>
      </c>
      <c r="BT151" s="22">
        <f t="shared" si="164"/>
        <v>-1155.1506647697913</v>
      </c>
      <c r="BU151" s="22">
        <f>IF(U151&lt;0,PMT(BQ151/12,Dane_kredytowe!F$13-SUM(AB$5:AB151)+1,BR151),0)</f>
        <v>-1770.7398248359264</v>
      </c>
      <c r="BV151" s="22">
        <f t="shared" si="157"/>
        <v>333.80116373624492</v>
      </c>
      <c r="BX151" s="23">
        <f>BX$5+SUM(BZ$5:BZ150)+SUM(R$5:R150)-SUM(S$5:S150)+SUM(CB$5,CB150)</f>
        <v>241797.61497527541</v>
      </c>
      <c r="BY151" s="22">
        <f t="shared" si="150"/>
        <v>-882.56129465975528</v>
      </c>
      <c r="BZ151" s="22">
        <f t="shared" si="151"/>
        <v>-833.78487922508759</v>
      </c>
      <c r="CA151" s="22">
        <f t="shared" si="165"/>
        <v>-1716.3461738848428</v>
      </c>
      <c r="CB151" s="22">
        <f t="shared" si="166"/>
        <v>279.40751278516132</v>
      </c>
      <c r="CD151" s="22">
        <f>CD$5+SUM(CE$5:CE150)+SUM(R$5:R150)-SUM(S$5:S150)-SUM(CF$5:CF150)</f>
        <v>302914.2464597986</v>
      </c>
      <c r="CE151" s="22">
        <f t="shared" si="158"/>
        <v>882.56129465975528</v>
      </c>
      <c r="CF151" s="22">
        <f t="shared" si="152"/>
        <v>1436.9386610996814</v>
      </c>
      <c r="CG151" s="22">
        <f t="shared" si="159"/>
        <v>554.37736643992616</v>
      </c>
      <c r="CI151" s="89">
        <f t="shared" si="153"/>
        <v>0.45240000000000002</v>
      </c>
      <c r="CJ151" s="22">
        <f t="shared" si="154"/>
        <v>-650.07000000000005</v>
      </c>
      <c r="CK151" s="15">
        <f t="shared" si="160"/>
        <v>0</v>
      </c>
      <c r="CM151" s="22">
        <f t="shared" si="161"/>
        <v>-95530.727114370035</v>
      </c>
      <c r="CN151" s="15">
        <f t="shared" si="167"/>
        <v>-215.74022539995232</v>
      </c>
    </row>
    <row r="152" spans="1:92">
      <c r="A152" s="25"/>
      <c r="B152" s="80">
        <v>41730</v>
      </c>
      <c r="C152" s="81">
        <f t="shared" si="131"/>
        <v>3.4317000000000002</v>
      </c>
      <c r="D152" s="82">
        <f t="shared" si="162"/>
        <v>3.5346510000000002</v>
      </c>
      <c r="E152" s="73">
        <f t="shared" si="115"/>
        <v>-404.71296995664596</v>
      </c>
      <c r="F152" s="19">
        <f t="shared" si="127"/>
        <v>-1430.5191039702288</v>
      </c>
      <c r="G152" s="19">
        <f t="shared" si="116"/>
        <v>-1276.234615585076</v>
      </c>
      <c r="H152" s="19">
        <f t="shared" si="128"/>
        <v>154.28448838515283</v>
      </c>
      <c r="I152" s="62"/>
      <c r="J152" s="15" t="str">
        <f t="shared" si="168"/>
        <v xml:space="preserve"> </v>
      </c>
      <c r="K152" s="15">
        <f>IF(B152&lt;=Dane_kredytowe!F$9,0,K151+1)</f>
        <v>72</v>
      </c>
      <c r="L152" s="83">
        <f t="shared" si="132"/>
        <v>1E-4</v>
      </c>
      <c r="M152" s="84">
        <f>L152+Dane_kredytowe!F$12</f>
        <v>3.0099999999999998E-2</v>
      </c>
      <c r="N152" s="79">
        <f>MAX(Dane_kredytowe!F$17+SUM(AA$5:AA151)-SUM(X$5:X152)+SUM(W$5:W152),0)</f>
        <v>83124.741969820068</v>
      </c>
      <c r="O152" s="85">
        <f>MAX(Dane_kredytowe!F$8+SUM(V$5:V151)-SUM(S$5:S152)+SUM(R$5:R151),0)</f>
        <v>262128.17722354253</v>
      </c>
      <c r="P152" s="67">
        <f t="shared" si="122"/>
        <v>360</v>
      </c>
      <c r="Q152" s="127" t="str">
        <f>IF(AND(K152&gt;0,K152&lt;=Dane_kredytowe!F$16),"tak","nie")</f>
        <v>nie</v>
      </c>
      <c r="R152" s="69"/>
      <c r="S152" s="86">
        <f>IF(Dane_kredytowe!F$19=B152,O151+V151,_xlfn.XLOOKUP(B152,Dane_kredytowe!M$9:M$18,Dane_kredytowe!N$9:N$18,0))</f>
        <v>0</v>
      </c>
      <c r="T152" s="71">
        <f t="shared" si="133"/>
        <v>-657.50484453571914</v>
      </c>
      <c r="U152" s="72">
        <f>IF(Q152="tak",T152,IF(P152-SUM(AB$5:AB152)+1&gt;0,IF(Dane_kredytowe!F$9&lt;B152,IF(SUM(AB$5:AB152)-Dane_kredytowe!F$16+1&gt;0,PMT(M152/12,P152+1-SUM(AB$5:AB152),O152),T152),0),0))</f>
        <v>-1276.234615585076</v>
      </c>
      <c r="V152" s="72">
        <f t="shared" si="155"/>
        <v>-618.72977104935683</v>
      </c>
      <c r="W152" s="19" t="str">
        <f t="shared" si="156"/>
        <v xml:space="preserve"> </v>
      </c>
      <c r="X152" s="19">
        <f t="shared" si="169"/>
        <v>0</v>
      </c>
      <c r="Y152" s="73">
        <f t="shared" si="134"/>
        <v>-208.50456110763199</v>
      </c>
      <c r="Z152" s="19">
        <f>IF(P152-SUM(AB$5:AB152)+1&gt;0,IF(Dane_kredytowe!F$9&lt;B152,IF(SUM(AB$5:AB152)-Dane_kredytowe!F$16+1&gt;0,PMT(M152/12,P152+1-SUM(AB$5:AB152),N152),Y152),0),0)</f>
        <v>-404.71296995664596</v>
      </c>
      <c r="AA152" s="19">
        <f t="shared" si="125"/>
        <v>-196.20840884901398</v>
      </c>
      <c r="AB152" s="20">
        <f>IF(AND(Dane_kredytowe!F$9&lt;B152,SUM(AB$5:AB151)&lt;P151),1," ")</f>
        <v>1</v>
      </c>
      <c r="AD152" s="75">
        <f>IF(OR(B152&lt;Dane_kredytowe!F$15,Dane_kredytowe!F$15=""),-F152+S152,0)</f>
        <v>0</v>
      </c>
      <c r="AE152" s="75">
        <f t="shared" si="135"/>
        <v>404.71296995664596</v>
      </c>
      <c r="AG152" s="22">
        <f>Dane_kredytowe!F$17-SUM(AI$5:AI151)+SUM(W$42:W152)-SUM(X$42:X152)</f>
        <v>76372.000000000015</v>
      </c>
      <c r="AH152" s="22">
        <f t="shared" si="136"/>
        <v>191.57</v>
      </c>
      <c r="AI152" s="22">
        <f t="shared" si="137"/>
        <v>264.26</v>
      </c>
      <c r="AJ152" s="22">
        <f t="shared" si="123"/>
        <v>455.83</v>
      </c>
      <c r="AK152" s="22">
        <f t="shared" si="138"/>
        <v>1611.2</v>
      </c>
      <c r="AL152" s="22">
        <f>Dane_kredytowe!F$8-SUM(AN$5:AN151)+SUM(R$42:R151)-SUM(S$42:S152)</f>
        <v>240833.56999999992</v>
      </c>
      <c r="AM152" s="22">
        <f t="shared" si="139"/>
        <v>604.09</v>
      </c>
      <c r="AN152" s="22">
        <f t="shared" si="140"/>
        <v>833.33</v>
      </c>
      <c r="AO152" s="22">
        <f t="shared" si="117"/>
        <v>1437.42</v>
      </c>
      <c r="AP152" s="22">
        <f t="shared" si="118"/>
        <v>173.77999999999997</v>
      </c>
      <c r="AR152" s="87">
        <f t="shared" si="141"/>
        <v>41730</v>
      </c>
      <c r="AS152" s="23">
        <f>AS$5+SUM(AV$5:AV151)-SUM(X$5:X152)+SUM(W$5:W152)</f>
        <v>121501.88987834548</v>
      </c>
      <c r="AT152" s="22">
        <f t="shared" si="142"/>
        <v>-304.7672404448499</v>
      </c>
      <c r="AU152" s="22">
        <f>IF(AB152=1,IF(Q152="tak",AT152,PMT(M152/12,P152+1-SUM(AB$5:AB152),AS152)),0)</f>
        <v>-591.56142374389356</v>
      </c>
      <c r="AV152" s="22">
        <f t="shared" si="119"/>
        <v>-286.79418329904365</v>
      </c>
      <c r="AW152" s="22">
        <f t="shared" si="143"/>
        <v>-2030.0613378619196</v>
      </c>
      <c r="AY152" s="23">
        <f>AY$5+SUM(BA$5:BA151)+SUM(W$5:W151)-SUM(X$5:X151)</f>
        <v>111631.10143784182</v>
      </c>
      <c r="AZ152" s="23">
        <f t="shared" si="144"/>
        <v>-304.7672404448499</v>
      </c>
      <c r="BA152" s="23">
        <f t="shared" si="145"/>
        <v>-386.27</v>
      </c>
      <c r="BB152" s="23">
        <f t="shared" si="124"/>
        <v>-691.03724044484989</v>
      </c>
      <c r="BC152" s="23">
        <f t="shared" si="146"/>
        <v>-2371.4324980345914</v>
      </c>
      <c r="BE152" s="88">
        <f t="shared" si="147"/>
        <v>2.7199999999999998E-2</v>
      </c>
      <c r="BF152" s="89">
        <f>BE152+Dane_kredytowe!F$12</f>
        <v>5.7200000000000001E-2</v>
      </c>
      <c r="BG152" s="23">
        <f>BG$5+SUM(BH$5:BH151)+SUM(R$5:R151)-SUM(S$5:S151)</f>
        <v>279307.86549578852</v>
      </c>
      <c r="BH152" s="22">
        <f t="shared" si="126"/>
        <v>-450.96172843775616</v>
      </c>
      <c r="BI152" s="22">
        <f t="shared" si="121"/>
        <v>-1331.3674921965919</v>
      </c>
      <c r="BJ152" s="22">
        <f>IF(U152&lt;0,PMT(BF152/12,Dane_kredytowe!F$13-SUM(AB$5:AB152)+1,BG152),0)</f>
        <v>-1782.3292206343481</v>
      </c>
      <c r="BL152" s="23">
        <f>BL$5+SUM(BN$5:BN151)+SUM(R$5:R151)-SUM(S$5:S151)</f>
        <v>240833.33333333328</v>
      </c>
      <c r="BM152" s="23">
        <f t="shared" si="129"/>
        <v>-1147.9722222222219</v>
      </c>
      <c r="BN152" s="23">
        <f t="shared" si="148"/>
        <v>-833.33333333333314</v>
      </c>
      <c r="BO152" s="23">
        <f t="shared" si="130"/>
        <v>-1981.3055555555552</v>
      </c>
      <c r="BQ152" s="89">
        <f t="shared" si="149"/>
        <v>4.3899999999999995E-2</v>
      </c>
      <c r="BR152" s="23">
        <f>BR$5+SUM(BS$5:BS151)+SUM(R$5:R151)-SUM(S$5:S151)+SUM(BV$5:BV151)</f>
        <v>316197.84618717455</v>
      </c>
      <c r="BS152" s="22">
        <f t="shared" si="163"/>
        <v>-617.62208942268876</v>
      </c>
      <c r="BT152" s="22">
        <f t="shared" si="164"/>
        <v>-1156.7571206347468</v>
      </c>
      <c r="BU152" s="22">
        <f>IF(U152&lt;0,PMT(BQ152/12,Dane_kredytowe!F$13-SUM(AB$5:AB152)+1,BR152),0)</f>
        <v>-1774.3792100574356</v>
      </c>
      <c r="BV152" s="22">
        <f t="shared" si="157"/>
        <v>343.86010608720676</v>
      </c>
      <c r="BX152" s="23">
        <f>BX$5+SUM(BZ$5:BZ151)+SUM(R$5:R151)-SUM(S$5:S151)+SUM(CB$5,CB151)</f>
        <v>240949.61168358699</v>
      </c>
      <c r="BY152" s="22">
        <f t="shared" si="150"/>
        <v>-881.47399607578893</v>
      </c>
      <c r="BZ152" s="22">
        <f t="shared" si="151"/>
        <v>-833.73568056604495</v>
      </c>
      <c r="CA152" s="22">
        <f t="shared" si="165"/>
        <v>-1715.209676641834</v>
      </c>
      <c r="CB152" s="22">
        <f t="shared" si="166"/>
        <v>284.6905726716052</v>
      </c>
      <c r="CD152" s="22">
        <f>CD$5+SUM(CE$5:CE151)+SUM(R$5:R151)-SUM(S$5:S151)-SUM(CF$5:CF151)</f>
        <v>302359.86909335863</v>
      </c>
      <c r="CE152" s="22">
        <f t="shared" si="158"/>
        <v>881.47399607578893</v>
      </c>
      <c r="CF152" s="22">
        <f t="shared" si="152"/>
        <v>1430.5191039702288</v>
      </c>
      <c r="CG152" s="22">
        <f t="shared" si="159"/>
        <v>549.04510789443987</v>
      </c>
      <c r="CI152" s="89">
        <f t="shared" si="153"/>
        <v>0.45240000000000002</v>
      </c>
      <c r="CJ152" s="22">
        <f t="shared" si="154"/>
        <v>-647.16999999999996</v>
      </c>
      <c r="CK152" s="15">
        <f t="shared" si="160"/>
        <v>0</v>
      </c>
      <c r="CM152" s="22">
        <f t="shared" si="161"/>
        <v>-96961.246218340268</v>
      </c>
      <c r="CN152" s="15">
        <f t="shared" si="167"/>
        <v>-219.77882476157126</v>
      </c>
    </row>
    <row r="153" spans="1:92">
      <c r="A153" s="25"/>
      <c r="B153" s="80">
        <v>41760</v>
      </c>
      <c r="C153" s="81">
        <f t="shared" si="131"/>
        <v>3.4243999999999999</v>
      </c>
      <c r="D153" s="82">
        <f t="shared" si="162"/>
        <v>3.5271319999999999</v>
      </c>
      <c r="E153" s="73">
        <f t="shared" si="115"/>
        <v>-404.71296995664596</v>
      </c>
      <c r="F153" s="19">
        <f t="shared" si="127"/>
        <v>-1427.4760671491247</v>
      </c>
      <c r="G153" s="19">
        <f t="shared" si="116"/>
        <v>-1276.2346155850762</v>
      </c>
      <c r="H153" s="19">
        <f t="shared" si="128"/>
        <v>151.24145156404848</v>
      </c>
      <c r="I153" s="62"/>
      <c r="J153" s="15" t="str">
        <f t="shared" si="168"/>
        <v xml:space="preserve"> </v>
      </c>
      <c r="K153" s="15">
        <f>IF(B153&lt;=Dane_kredytowe!F$9,0,K152+1)</f>
        <v>73</v>
      </c>
      <c r="L153" s="83">
        <f t="shared" si="132"/>
        <v>1E-4</v>
      </c>
      <c r="M153" s="84">
        <f>L153+Dane_kredytowe!F$12</f>
        <v>3.0099999999999998E-2</v>
      </c>
      <c r="N153" s="79">
        <f>MAX(Dane_kredytowe!F$17+SUM(AA$5:AA152)-SUM(X$5:X153)+SUM(W$5:W153),0)</f>
        <v>82928.533560971046</v>
      </c>
      <c r="O153" s="85">
        <f>MAX(Dane_kredytowe!F$8+SUM(V$5:V152)-SUM(S$5:S153)+SUM(R$5:R152),0)</f>
        <v>261509.44745249319</v>
      </c>
      <c r="P153" s="67">
        <f t="shared" si="122"/>
        <v>360</v>
      </c>
      <c r="Q153" s="127" t="str">
        <f>IF(AND(K153&gt;0,K153&lt;=Dane_kredytowe!F$16),"tak","nie")</f>
        <v>nie</v>
      </c>
      <c r="R153" s="69"/>
      <c r="S153" s="86">
        <f>IF(Dane_kredytowe!F$19=B153,O152+V152,_xlfn.XLOOKUP(B153,Dane_kredytowe!M$9:M$18,Dane_kredytowe!N$9:N$18,0))</f>
        <v>0</v>
      </c>
      <c r="T153" s="71">
        <f t="shared" si="133"/>
        <v>-655.95286402667034</v>
      </c>
      <c r="U153" s="72">
        <f>IF(Q153="tak",T153,IF(P153-SUM(AB$5:AB153)+1&gt;0,IF(Dane_kredytowe!F$9&lt;B153,IF(SUM(AB$5:AB153)-Dane_kredytowe!F$16+1&gt;0,PMT(M153/12,P153+1-SUM(AB$5:AB153),O153),T153),0),0))</f>
        <v>-1276.2346155850762</v>
      </c>
      <c r="V153" s="72">
        <f t="shared" si="155"/>
        <v>-620.28175155840586</v>
      </c>
      <c r="W153" s="19" t="str">
        <f t="shared" si="156"/>
        <v xml:space="preserve"> </v>
      </c>
      <c r="X153" s="19">
        <f t="shared" si="169"/>
        <v>0</v>
      </c>
      <c r="Y153" s="73">
        <f t="shared" si="134"/>
        <v>-208.01240501543569</v>
      </c>
      <c r="Z153" s="19">
        <f>IF(P153-SUM(AB$5:AB153)+1&gt;0,IF(Dane_kredytowe!F$9&lt;B153,IF(SUM(AB$5:AB153)-Dane_kredytowe!F$16+1&gt;0,PMT(M153/12,P153+1-SUM(AB$5:AB153),N153),Y153),0),0)</f>
        <v>-404.71296995664596</v>
      </c>
      <c r="AA153" s="19">
        <f t="shared" si="125"/>
        <v>-196.70056494121027</v>
      </c>
      <c r="AB153" s="20">
        <f>IF(AND(Dane_kredytowe!F$9&lt;B153,SUM(AB$5:AB152)&lt;P152),1," ")</f>
        <v>1</v>
      </c>
      <c r="AD153" s="75">
        <f>IF(OR(B153&lt;Dane_kredytowe!F$15,Dane_kredytowe!F$15=""),-F153+S153,0)</f>
        <v>0</v>
      </c>
      <c r="AE153" s="75">
        <f t="shared" si="135"/>
        <v>404.71296995664596</v>
      </c>
      <c r="AG153" s="22">
        <f>Dane_kredytowe!F$17-SUM(AI$5:AI152)+SUM(W$42:W153)-SUM(X$42:X153)</f>
        <v>76107.74000000002</v>
      </c>
      <c r="AH153" s="22">
        <f t="shared" si="136"/>
        <v>190.9</v>
      </c>
      <c r="AI153" s="22">
        <f t="shared" si="137"/>
        <v>264.26</v>
      </c>
      <c r="AJ153" s="22">
        <f t="shared" si="123"/>
        <v>455.15999999999997</v>
      </c>
      <c r="AK153" s="22">
        <f t="shared" si="138"/>
        <v>1605.41</v>
      </c>
      <c r="AL153" s="22">
        <f>Dane_kredytowe!F$8-SUM(AN$5:AN152)+SUM(R$42:R152)-SUM(S$42:S153)</f>
        <v>240000.2399999999</v>
      </c>
      <c r="AM153" s="22">
        <f t="shared" si="139"/>
        <v>602</v>
      </c>
      <c r="AN153" s="22">
        <f t="shared" si="140"/>
        <v>833.33</v>
      </c>
      <c r="AO153" s="22">
        <f t="shared" si="117"/>
        <v>1435.33</v>
      </c>
      <c r="AP153" s="22">
        <f t="shared" si="118"/>
        <v>170.08000000000015</v>
      </c>
      <c r="AR153" s="87">
        <f t="shared" si="141"/>
        <v>41760</v>
      </c>
      <c r="AS153" s="23">
        <f>AS$5+SUM(AV$5:AV152)-SUM(X$5:X153)+SUM(W$5:W153)</f>
        <v>121215.09569504643</v>
      </c>
      <c r="AT153" s="22">
        <f t="shared" si="142"/>
        <v>-304.04786503507478</v>
      </c>
      <c r="AU153" s="22">
        <f>IF(AB153=1,IF(Q153="tak",AT153,PMT(M153/12,P153+1-SUM(AB$5:AB153),AS153)),0)</f>
        <v>-591.56142374389367</v>
      </c>
      <c r="AV153" s="22">
        <f t="shared" si="119"/>
        <v>-287.51355870881889</v>
      </c>
      <c r="AW153" s="22">
        <f t="shared" si="143"/>
        <v>-2025.7429394685894</v>
      </c>
      <c r="AY153" s="23">
        <f>AY$5+SUM(BA$5:BA152)+SUM(W$5:W152)-SUM(X$5:X152)</f>
        <v>111244.83143784181</v>
      </c>
      <c r="AZ153" s="23">
        <f t="shared" si="144"/>
        <v>-304.04786503507478</v>
      </c>
      <c r="BA153" s="23">
        <f t="shared" si="145"/>
        <v>-386.27</v>
      </c>
      <c r="BB153" s="23">
        <f t="shared" si="124"/>
        <v>-690.31786503507476</v>
      </c>
      <c r="BC153" s="23">
        <f t="shared" si="146"/>
        <v>-2363.9244970261097</v>
      </c>
      <c r="BE153" s="88">
        <f t="shared" si="147"/>
        <v>2.7199999999999998E-2</v>
      </c>
      <c r="BF153" s="89">
        <f>BE153+Dane_kredytowe!F$12</f>
        <v>5.7200000000000001E-2</v>
      </c>
      <c r="BG153" s="23">
        <f>BG$5+SUM(BH$5:BH152)+SUM(R$5:R152)-SUM(S$5:S152)</f>
        <v>278856.90376735077</v>
      </c>
      <c r="BH153" s="22">
        <f t="shared" si="126"/>
        <v>-453.11131267664268</v>
      </c>
      <c r="BI153" s="22">
        <f t="shared" si="121"/>
        <v>-1329.2179079577054</v>
      </c>
      <c r="BJ153" s="22">
        <f>IF(U153&lt;0,PMT(BF153/12,Dane_kredytowe!F$13-SUM(AB$5:AB153)+1,BG153),0)</f>
        <v>-1782.3292206343481</v>
      </c>
      <c r="BL153" s="23">
        <f>BL$5+SUM(BN$5:BN152)+SUM(R$5:R152)-SUM(S$5:S152)</f>
        <v>239999.99999999994</v>
      </c>
      <c r="BM153" s="23">
        <f t="shared" si="129"/>
        <v>-1143.9999999999998</v>
      </c>
      <c r="BN153" s="23">
        <f t="shared" si="148"/>
        <v>-833.33333333333314</v>
      </c>
      <c r="BO153" s="23">
        <f t="shared" si="130"/>
        <v>-1977.333333333333</v>
      </c>
      <c r="BQ153" s="89">
        <f t="shared" si="149"/>
        <v>4.3899999999999995E-2</v>
      </c>
      <c r="BR153" s="23">
        <f>BR$5+SUM(BS$5:BS152)+SUM(R$5:R152)-SUM(S$5:S152)+SUM(BV$5:BV152)</f>
        <v>315924.08420383907</v>
      </c>
      <c r="BS153" s="22">
        <f t="shared" si="163"/>
        <v>-620.55698749287649</v>
      </c>
      <c r="BT153" s="22">
        <f t="shared" si="164"/>
        <v>-1155.7556080457111</v>
      </c>
      <c r="BU153" s="22">
        <f>IF(U153&lt;0,PMT(BQ153/12,Dane_kredytowe!F$13-SUM(AB$5:AB153)+1,BR153),0)</f>
        <v>-1776.3125955385876</v>
      </c>
      <c r="BV153" s="22">
        <f t="shared" si="157"/>
        <v>348.83652838946296</v>
      </c>
      <c r="BX153" s="23">
        <f>BX$5+SUM(BZ$5:BZ152)+SUM(R$5:R152)-SUM(S$5:S152)+SUM(CB$5,CB152)</f>
        <v>240121.15906290736</v>
      </c>
      <c r="BY153" s="22">
        <f t="shared" si="150"/>
        <v>-878.44324023846923</v>
      </c>
      <c r="BZ153" s="22">
        <f t="shared" si="151"/>
        <v>-833.75402452398384</v>
      </c>
      <c r="CA153" s="22">
        <f t="shared" si="165"/>
        <v>-1712.197264762453</v>
      </c>
      <c r="CB153" s="22">
        <f t="shared" si="166"/>
        <v>284.72119761332829</v>
      </c>
      <c r="CD153" s="22">
        <f>CD$5+SUM(CE$5:CE152)+SUM(R$5:R152)-SUM(S$5:S152)-SUM(CF$5:CF152)</f>
        <v>301810.82398546417</v>
      </c>
      <c r="CE153" s="22">
        <f t="shared" si="158"/>
        <v>878.44324023846923</v>
      </c>
      <c r="CF153" s="22">
        <f t="shared" si="152"/>
        <v>1427.4760671491247</v>
      </c>
      <c r="CG153" s="22">
        <f t="shared" si="159"/>
        <v>549.03282691065544</v>
      </c>
      <c r="CI153" s="89">
        <f t="shared" si="153"/>
        <v>0.45379999999999998</v>
      </c>
      <c r="CJ153" s="22">
        <f t="shared" si="154"/>
        <v>-647.79</v>
      </c>
      <c r="CK153" s="15">
        <f t="shared" si="160"/>
        <v>0</v>
      </c>
      <c r="CM153" s="22">
        <f t="shared" si="161"/>
        <v>-98388.722285489392</v>
      </c>
      <c r="CN153" s="15">
        <f t="shared" si="167"/>
        <v>-223.01443718044263</v>
      </c>
    </row>
    <row r="154" spans="1:92">
      <c r="A154" s="25"/>
      <c r="B154" s="80">
        <v>41791</v>
      </c>
      <c r="C154" s="81">
        <f t="shared" si="131"/>
        <v>3.3965000000000001</v>
      </c>
      <c r="D154" s="82">
        <f t="shared" si="162"/>
        <v>3.4983950000000004</v>
      </c>
      <c r="E154" s="73">
        <f t="shared" si="115"/>
        <v>-404.71296995664608</v>
      </c>
      <c r="F154" s="19">
        <f t="shared" si="127"/>
        <v>-1415.8458305314809</v>
      </c>
      <c r="G154" s="19">
        <f t="shared" si="116"/>
        <v>-1276.2346155850762</v>
      </c>
      <c r="H154" s="19">
        <f t="shared" si="128"/>
        <v>139.61121494640474</v>
      </c>
      <c r="I154" s="62"/>
      <c r="J154" s="15" t="str">
        <f t="shared" si="168"/>
        <v xml:space="preserve"> </v>
      </c>
      <c r="K154" s="15">
        <f>IF(B154&lt;=Dane_kredytowe!F$9,0,K153+1)</f>
        <v>74</v>
      </c>
      <c r="L154" s="83">
        <f t="shared" si="132"/>
        <v>1E-4</v>
      </c>
      <c r="M154" s="84">
        <f>L154+Dane_kredytowe!F$12</f>
        <v>3.0099999999999998E-2</v>
      </c>
      <c r="N154" s="79">
        <f>MAX(Dane_kredytowe!F$17+SUM(AA$5:AA153)-SUM(X$5:X154)+SUM(W$5:W154),0)</f>
        <v>82731.832996029843</v>
      </c>
      <c r="O154" s="85">
        <f>MAX(Dane_kredytowe!F$8+SUM(V$5:V153)-SUM(S$5:S154)+SUM(R$5:R153),0)</f>
        <v>260889.16570093477</v>
      </c>
      <c r="P154" s="67">
        <f t="shared" si="122"/>
        <v>360</v>
      </c>
      <c r="Q154" s="127" t="str">
        <f>IF(AND(K154&gt;0,K154&lt;=Dane_kredytowe!F$16),"tak","nie")</f>
        <v>nie</v>
      </c>
      <c r="R154" s="69"/>
      <c r="S154" s="86">
        <f>IF(Dane_kredytowe!F$19=B154,O153+V153,_xlfn.XLOOKUP(B154,Dane_kredytowe!M$9:M$18,Dane_kredytowe!N$9:N$18,0))</f>
        <v>0</v>
      </c>
      <c r="T154" s="71">
        <f t="shared" si="133"/>
        <v>-654.39699063317801</v>
      </c>
      <c r="U154" s="72">
        <f>IF(Q154="tak",T154,IF(P154-SUM(AB$5:AB154)+1&gt;0,IF(Dane_kredytowe!F$9&lt;B154,IF(SUM(AB$5:AB154)-Dane_kredytowe!F$16+1&gt;0,PMT(M154/12,P154+1-SUM(AB$5:AB154),O154),T154),0),0))</f>
        <v>-1276.2346155850762</v>
      </c>
      <c r="V154" s="72">
        <f t="shared" si="155"/>
        <v>-621.83762495189819</v>
      </c>
      <c r="W154" s="19" t="str">
        <f t="shared" si="156"/>
        <v xml:space="preserve"> </v>
      </c>
      <c r="X154" s="19">
        <f t="shared" si="169"/>
        <v>0</v>
      </c>
      <c r="Y154" s="73">
        <f t="shared" si="134"/>
        <v>-207.5190144317082</v>
      </c>
      <c r="Z154" s="19">
        <f>IF(P154-SUM(AB$5:AB154)+1&gt;0,IF(Dane_kredytowe!F$9&lt;B154,IF(SUM(AB$5:AB154)-Dane_kredytowe!F$16+1&gt;0,PMT(M154/12,P154+1-SUM(AB$5:AB154),N154),Y154),0),0)</f>
        <v>-404.71296995664608</v>
      </c>
      <c r="AA154" s="19">
        <f t="shared" si="125"/>
        <v>-197.19395552493788</v>
      </c>
      <c r="AB154" s="20">
        <f>IF(AND(Dane_kredytowe!F$9&lt;B154,SUM(AB$5:AB153)&lt;P153),1," ")</f>
        <v>1</v>
      </c>
      <c r="AD154" s="75">
        <f>IF(OR(B154&lt;Dane_kredytowe!F$15,Dane_kredytowe!F$15=""),-F154+S154,0)</f>
        <v>0</v>
      </c>
      <c r="AE154" s="75">
        <f t="shared" si="135"/>
        <v>404.71296995664608</v>
      </c>
      <c r="AG154" s="22">
        <f>Dane_kredytowe!F$17-SUM(AI$5:AI153)+SUM(W$42:W154)-SUM(X$42:X154)</f>
        <v>75843.48000000001</v>
      </c>
      <c r="AH154" s="22">
        <f t="shared" si="136"/>
        <v>190.24</v>
      </c>
      <c r="AI154" s="22">
        <f t="shared" si="137"/>
        <v>264.26</v>
      </c>
      <c r="AJ154" s="22">
        <f t="shared" si="123"/>
        <v>454.5</v>
      </c>
      <c r="AK154" s="22">
        <f t="shared" si="138"/>
        <v>1590.02</v>
      </c>
      <c r="AL154" s="22">
        <f>Dane_kredytowe!F$8-SUM(AN$5:AN153)+SUM(R$42:R153)-SUM(S$42:S154)</f>
        <v>239166.90999999992</v>
      </c>
      <c r="AM154" s="22">
        <f t="shared" si="139"/>
        <v>599.91</v>
      </c>
      <c r="AN154" s="22">
        <f t="shared" si="140"/>
        <v>833.33</v>
      </c>
      <c r="AO154" s="22">
        <f t="shared" si="117"/>
        <v>1433.24</v>
      </c>
      <c r="AP154" s="22">
        <f t="shared" si="118"/>
        <v>156.77999999999997</v>
      </c>
      <c r="AR154" s="87">
        <f t="shared" si="141"/>
        <v>41791</v>
      </c>
      <c r="AS154" s="23">
        <f>AS$5+SUM(AV$5:AV153)-SUM(X$5:X154)+SUM(W$5:W154)</f>
        <v>120927.58213633762</v>
      </c>
      <c r="AT154" s="22">
        <f t="shared" si="142"/>
        <v>-303.32668519198018</v>
      </c>
      <c r="AU154" s="22">
        <f>IF(AB154=1,IF(Q154="tak",AT154,PMT(M154/12,P154+1-SUM(AB$5:AB154),AS154)),0)</f>
        <v>-591.56142374389367</v>
      </c>
      <c r="AV154" s="22">
        <f t="shared" si="119"/>
        <v>-288.23473855191349</v>
      </c>
      <c r="AW154" s="22">
        <f t="shared" si="143"/>
        <v>-2009.2383757461348</v>
      </c>
      <c r="AY154" s="23">
        <f>AY$5+SUM(BA$5:BA153)+SUM(W$5:W153)-SUM(X$5:X153)</f>
        <v>110858.56143784182</v>
      </c>
      <c r="AZ154" s="23">
        <f t="shared" si="144"/>
        <v>-303.32668519198018</v>
      </c>
      <c r="BA154" s="23">
        <f t="shared" si="145"/>
        <v>-386.27</v>
      </c>
      <c r="BB154" s="23">
        <f t="shared" si="124"/>
        <v>-689.59668519198021</v>
      </c>
      <c r="BC154" s="23">
        <f t="shared" si="146"/>
        <v>-2342.2151412545609</v>
      </c>
      <c r="BE154" s="88">
        <f t="shared" si="147"/>
        <v>2.69E-2</v>
      </c>
      <c r="BF154" s="89">
        <f>BE154+Dane_kredytowe!F$12</f>
        <v>5.6899999999999999E-2</v>
      </c>
      <c r="BG154" s="23">
        <f>BG$5+SUM(BH$5:BH153)+SUM(R$5:R153)-SUM(S$5:S153)</f>
        <v>278403.79245467408</v>
      </c>
      <c r="BH154" s="22">
        <f t="shared" si="126"/>
        <v>-457.25321345879411</v>
      </c>
      <c r="BI154" s="22">
        <f t="shared" si="121"/>
        <v>-1320.0979825559129</v>
      </c>
      <c r="BJ154" s="22">
        <f>IF(U154&lt;0,PMT(BF154/12,Dane_kredytowe!F$13-SUM(AB$5:AB154)+1,BG154),0)</f>
        <v>-1777.3511960147071</v>
      </c>
      <c r="BL154" s="23">
        <f>BL$5+SUM(BN$5:BN153)+SUM(R$5:R153)-SUM(S$5:S153)</f>
        <v>239166.6666666666</v>
      </c>
      <c r="BM154" s="23">
        <f t="shared" si="129"/>
        <v>-1134.0486111111106</v>
      </c>
      <c r="BN154" s="23">
        <f t="shared" si="148"/>
        <v>-833.33333333333314</v>
      </c>
      <c r="BO154" s="23">
        <f t="shared" si="130"/>
        <v>-1967.3819444444439</v>
      </c>
      <c r="BQ154" s="89">
        <f t="shared" si="149"/>
        <v>4.36E-2</v>
      </c>
      <c r="BR154" s="23">
        <f>BR$5+SUM(BS$5:BS153)+SUM(R$5:R153)-SUM(S$5:S153)+SUM(BV$5:BV153)</f>
        <v>315652.36374473566</v>
      </c>
      <c r="BS154" s="22">
        <f t="shared" si="163"/>
        <v>-626.12375597809341</v>
      </c>
      <c r="BT154" s="22">
        <f t="shared" si="164"/>
        <v>-1146.8702549392062</v>
      </c>
      <c r="BU154" s="22">
        <f>IF(U154&lt;0,PMT(BQ154/12,Dane_kredytowe!F$13-SUM(AB$5:AB154)+1,BR154),0)</f>
        <v>-1772.9940109172996</v>
      </c>
      <c r="BV154" s="22">
        <f t="shared" si="157"/>
        <v>357.1481803858187</v>
      </c>
      <c r="BX154" s="23">
        <f>BX$5+SUM(BZ$5:BZ153)+SUM(R$5:R153)-SUM(S$5:S153)+SUM(CB$5,CB153)</f>
        <v>239287.43566332513</v>
      </c>
      <c r="BY154" s="22">
        <f t="shared" si="150"/>
        <v>-869.41101624341456</v>
      </c>
      <c r="BZ154" s="22">
        <f t="shared" si="151"/>
        <v>-833.75413123109797</v>
      </c>
      <c r="CA154" s="22">
        <f t="shared" si="165"/>
        <v>-1703.1651474745127</v>
      </c>
      <c r="CB154" s="22">
        <f t="shared" si="166"/>
        <v>287.31931694303171</v>
      </c>
      <c r="CD154" s="22">
        <f>CD$5+SUM(CE$5:CE153)+SUM(R$5:R153)-SUM(S$5:S153)-SUM(CF$5:CF153)</f>
        <v>301261.79115855356</v>
      </c>
      <c r="CE154" s="22">
        <f t="shared" si="158"/>
        <v>869.41101624341456</v>
      </c>
      <c r="CF154" s="22">
        <f t="shared" si="152"/>
        <v>1415.8458305314809</v>
      </c>
      <c r="CG154" s="22">
        <f t="shared" si="159"/>
        <v>546.43481428806638</v>
      </c>
      <c r="CI154" s="89">
        <f t="shared" si="153"/>
        <v>0.45379999999999998</v>
      </c>
      <c r="CJ154" s="22">
        <f t="shared" si="154"/>
        <v>-642.51</v>
      </c>
      <c r="CK154" s="15">
        <f t="shared" si="160"/>
        <v>0</v>
      </c>
      <c r="CM154" s="22">
        <f t="shared" si="161"/>
        <v>-99804.568116020877</v>
      </c>
      <c r="CN154" s="15">
        <f t="shared" si="167"/>
        <v>-223.7285735267468</v>
      </c>
    </row>
    <row r="155" spans="1:92">
      <c r="A155" s="25"/>
      <c r="B155" s="80">
        <v>41821</v>
      </c>
      <c r="C155" s="81">
        <f t="shared" si="131"/>
        <v>3.4114</v>
      </c>
      <c r="D155" s="82">
        <f t="shared" si="162"/>
        <v>3.5137420000000001</v>
      </c>
      <c r="E155" s="73">
        <f t="shared" si="115"/>
        <v>-404.71296995664608</v>
      </c>
      <c r="F155" s="19">
        <f t="shared" si="127"/>
        <v>-1422.0569604814057</v>
      </c>
      <c r="G155" s="19">
        <f t="shared" si="116"/>
        <v>-1276.2346155850762</v>
      </c>
      <c r="H155" s="19">
        <f t="shared" si="128"/>
        <v>145.82234489632947</v>
      </c>
      <c r="I155" s="62"/>
      <c r="J155" s="15" t="str">
        <f t="shared" si="168"/>
        <v xml:space="preserve"> </v>
      </c>
      <c r="K155" s="15">
        <f>IF(B155&lt;=Dane_kredytowe!F$9,0,K154+1)</f>
        <v>75</v>
      </c>
      <c r="L155" s="83">
        <f t="shared" si="132"/>
        <v>1E-4</v>
      </c>
      <c r="M155" s="84">
        <f>L155+Dane_kredytowe!F$12</f>
        <v>3.0099999999999998E-2</v>
      </c>
      <c r="N155" s="79">
        <f>MAX(Dane_kredytowe!F$17+SUM(AA$5:AA154)-SUM(X$5:X155)+SUM(W$5:W155),0)</f>
        <v>82534.639040504902</v>
      </c>
      <c r="O155" s="85">
        <f>MAX(Dane_kredytowe!F$8+SUM(V$5:V154)-SUM(S$5:S155)+SUM(R$5:R154),0)</f>
        <v>260267.32807598286</v>
      </c>
      <c r="P155" s="67">
        <f t="shared" si="122"/>
        <v>360</v>
      </c>
      <c r="Q155" s="127" t="str">
        <f>IF(AND(K155&gt;0,K155&lt;=Dane_kredytowe!F$16),"tak","nie")</f>
        <v>nie</v>
      </c>
      <c r="R155" s="69"/>
      <c r="S155" s="86">
        <f>IF(Dane_kredytowe!F$19=B155,O154+V154,_xlfn.XLOOKUP(B155,Dane_kredytowe!M$9:M$18,Dane_kredytowe!N$9:N$18,0))</f>
        <v>0</v>
      </c>
      <c r="T155" s="71">
        <f t="shared" si="133"/>
        <v>-652.83721459059029</v>
      </c>
      <c r="U155" s="72">
        <f>IF(Q155="tak",T155,IF(P155-SUM(AB$5:AB155)+1&gt;0,IF(Dane_kredytowe!F$9&lt;B155,IF(SUM(AB$5:AB155)-Dane_kredytowe!F$16+1&gt;0,PMT(M155/12,P155+1-SUM(AB$5:AB155),O155),T155),0),0))</f>
        <v>-1276.2346155850762</v>
      </c>
      <c r="V155" s="72">
        <f t="shared" si="155"/>
        <v>-623.39740099448591</v>
      </c>
      <c r="W155" s="19" t="str">
        <f t="shared" si="156"/>
        <v xml:space="preserve"> </v>
      </c>
      <c r="X155" s="19">
        <f t="shared" si="169"/>
        <v>0</v>
      </c>
      <c r="Y155" s="73">
        <f t="shared" si="134"/>
        <v>-207.0243862599331</v>
      </c>
      <c r="Z155" s="19">
        <f>IF(P155-SUM(AB$5:AB155)+1&gt;0,IF(Dane_kredytowe!F$9&lt;B155,IF(SUM(AB$5:AB155)-Dane_kredytowe!F$16+1&gt;0,PMT(M155/12,P155+1-SUM(AB$5:AB155),N155),Y155),0),0)</f>
        <v>-404.71296995664608</v>
      </c>
      <c r="AA155" s="19">
        <f t="shared" si="125"/>
        <v>-197.68858369671298</v>
      </c>
      <c r="AB155" s="20">
        <f>IF(AND(Dane_kredytowe!F$9&lt;B155,SUM(AB$5:AB154)&lt;P154),1," ")</f>
        <v>1</v>
      </c>
      <c r="AD155" s="75">
        <f>IF(OR(B155&lt;Dane_kredytowe!F$15,Dane_kredytowe!F$15=""),-F155+S155,0)</f>
        <v>0</v>
      </c>
      <c r="AE155" s="75">
        <f t="shared" si="135"/>
        <v>404.71296995664608</v>
      </c>
      <c r="AG155" s="22">
        <f>Dane_kredytowe!F$17-SUM(AI$5:AI154)+SUM(W$42:W155)-SUM(X$42:X155)</f>
        <v>75579.220000000016</v>
      </c>
      <c r="AH155" s="22">
        <f t="shared" si="136"/>
        <v>189.58</v>
      </c>
      <c r="AI155" s="22">
        <f t="shared" si="137"/>
        <v>264.26</v>
      </c>
      <c r="AJ155" s="22">
        <f t="shared" si="123"/>
        <v>453.84000000000003</v>
      </c>
      <c r="AK155" s="22">
        <f t="shared" si="138"/>
        <v>1594.68</v>
      </c>
      <c r="AL155" s="22">
        <f>Dane_kredytowe!F$8-SUM(AN$5:AN154)+SUM(R$42:R154)-SUM(S$42:S155)</f>
        <v>238333.5799999999</v>
      </c>
      <c r="AM155" s="22">
        <f t="shared" si="139"/>
        <v>597.82000000000005</v>
      </c>
      <c r="AN155" s="22">
        <f t="shared" si="140"/>
        <v>833.33</v>
      </c>
      <c r="AO155" s="22">
        <f t="shared" si="117"/>
        <v>1431.15</v>
      </c>
      <c r="AP155" s="22">
        <f t="shared" si="118"/>
        <v>163.52999999999997</v>
      </c>
      <c r="AR155" s="87">
        <f t="shared" si="141"/>
        <v>41821</v>
      </c>
      <c r="AS155" s="23">
        <f>AS$5+SUM(AV$5:AV154)-SUM(X$5:X155)+SUM(W$5:W155)</f>
        <v>120639.34739778571</v>
      </c>
      <c r="AT155" s="22">
        <f t="shared" si="142"/>
        <v>-302.60369638944582</v>
      </c>
      <c r="AU155" s="22">
        <f>IF(AB155=1,IF(Q155="tak",AT155,PMT(M155/12,P155+1-SUM(AB$5:AB155),AS155)),0)</f>
        <v>-591.56142374389378</v>
      </c>
      <c r="AV155" s="22">
        <f t="shared" si="119"/>
        <v>-288.95772735444797</v>
      </c>
      <c r="AW155" s="22">
        <f t="shared" si="143"/>
        <v>-2018.0526409599192</v>
      </c>
      <c r="AY155" s="23">
        <f>AY$5+SUM(BA$5:BA154)+SUM(W$5:W154)-SUM(X$5:X154)</f>
        <v>110472.29143784182</v>
      </c>
      <c r="AZ155" s="23">
        <f t="shared" si="144"/>
        <v>-302.60369638944582</v>
      </c>
      <c r="BA155" s="23">
        <f t="shared" si="145"/>
        <v>-386.27</v>
      </c>
      <c r="BB155" s="23">
        <f t="shared" si="124"/>
        <v>-688.87369638944574</v>
      </c>
      <c r="BC155" s="23">
        <f t="shared" si="146"/>
        <v>-2350.0237278629552</v>
      </c>
      <c r="BE155" s="88">
        <f t="shared" si="147"/>
        <v>2.6800000000000001E-2</v>
      </c>
      <c r="BF155" s="89">
        <f>BE155+Dane_kredytowe!F$12</f>
        <v>5.6800000000000003E-2</v>
      </c>
      <c r="BG155" s="23">
        <f>BG$5+SUM(BH$5:BH154)+SUM(R$5:R154)-SUM(S$5:S154)</f>
        <v>277946.53924121533</v>
      </c>
      <c r="BH155" s="22">
        <f t="shared" si="126"/>
        <v>-460.08399758718815</v>
      </c>
      <c r="BI155" s="22">
        <f t="shared" si="121"/>
        <v>-1315.613619075086</v>
      </c>
      <c r="BJ155" s="22">
        <f>IF(U155&lt;0,PMT(BF155/12,Dane_kredytowe!F$13-SUM(AB$5:AB155)+1,BG155),0)</f>
        <v>-1775.6976166622742</v>
      </c>
      <c r="BL155" s="23">
        <f>BL$5+SUM(BN$5:BN154)+SUM(R$5:R154)-SUM(S$5:S154)</f>
        <v>238333.33333333326</v>
      </c>
      <c r="BM155" s="23">
        <f t="shared" si="129"/>
        <v>-1128.1111111111109</v>
      </c>
      <c r="BN155" s="23">
        <f t="shared" si="148"/>
        <v>-833.33333333333303</v>
      </c>
      <c r="BO155" s="23">
        <f t="shared" si="130"/>
        <v>-1961.4444444444439</v>
      </c>
      <c r="BQ155" s="89">
        <f t="shared" si="149"/>
        <v>4.3499999999999997E-2</v>
      </c>
      <c r="BR155" s="23">
        <f>BR$5+SUM(BS$5:BS154)+SUM(R$5:R154)-SUM(S$5:S154)+SUM(BV$5:BV154)</f>
        <v>315383.38816914335</v>
      </c>
      <c r="BS155" s="22">
        <f t="shared" si="163"/>
        <v>-629.98279963477626</v>
      </c>
      <c r="BT155" s="22">
        <f t="shared" si="164"/>
        <v>-1143.2647821131445</v>
      </c>
      <c r="BU155" s="22">
        <f>IF(U155&lt;0,PMT(BQ155/12,Dane_kredytowe!F$13-SUM(AB$5:AB155)+1,BR155),0)</f>
        <v>-1773.2475817479208</v>
      </c>
      <c r="BV155" s="22">
        <f t="shared" si="157"/>
        <v>351.19062126651511</v>
      </c>
      <c r="BX155" s="23">
        <f>BX$5+SUM(BZ$5:BZ154)+SUM(R$5:R154)-SUM(S$5:S154)+SUM(CB$5,CB154)</f>
        <v>238456.27965142371</v>
      </c>
      <c r="BY155" s="22">
        <f t="shared" si="150"/>
        <v>-864.40401373641089</v>
      </c>
      <c r="BZ155" s="22">
        <f t="shared" si="151"/>
        <v>-833.7632155644186</v>
      </c>
      <c r="CA155" s="22">
        <f t="shared" si="165"/>
        <v>-1698.1672293008296</v>
      </c>
      <c r="CB155" s="22">
        <f t="shared" si="166"/>
        <v>276.11026881942394</v>
      </c>
      <c r="CD155" s="22">
        <f>CD$5+SUM(CE$5:CE154)+SUM(R$5:R154)-SUM(S$5:S154)-SUM(CF$5:CF154)</f>
        <v>300715.35634426546</v>
      </c>
      <c r="CE155" s="22">
        <f t="shared" si="158"/>
        <v>864.40401373641089</v>
      </c>
      <c r="CF155" s="22">
        <f t="shared" si="152"/>
        <v>1422.0569604814057</v>
      </c>
      <c r="CG155" s="22">
        <f t="shared" si="159"/>
        <v>557.65294674499478</v>
      </c>
      <c r="CI155" s="89">
        <f t="shared" si="153"/>
        <v>0.45669999999999999</v>
      </c>
      <c r="CJ155" s="22">
        <f t="shared" si="154"/>
        <v>-649.45000000000005</v>
      </c>
      <c r="CK155" s="15">
        <f t="shared" si="160"/>
        <v>0</v>
      </c>
      <c r="CM155" s="22">
        <f t="shared" si="161"/>
        <v>-101226.62507650229</v>
      </c>
      <c r="CN155" s="15">
        <f t="shared" si="167"/>
        <v>-226.07279600418846</v>
      </c>
    </row>
    <row r="156" spans="1:92">
      <c r="A156" s="25"/>
      <c r="B156" s="80">
        <v>41852</v>
      </c>
      <c r="C156" s="81">
        <f t="shared" si="131"/>
        <v>3.4601999999999999</v>
      </c>
      <c r="D156" s="82">
        <f t="shared" si="162"/>
        <v>3.564006</v>
      </c>
      <c r="E156" s="73">
        <f t="shared" si="115"/>
        <v>-404.71296995664608</v>
      </c>
      <c r="F156" s="19">
        <f t="shared" si="127"/>
        <v>-1442.3994532033064</v>
      </c>
      <c r="G156" s="19">
        <f t="shared" si="116"/>
        <v>-1276.2346155850762</v>
      </c>
      <c r="H156" s="19">
        <f t="shared" si="128"/>
        <v>166.16483761823019</v>
      </c>
      <c r="I156" s="62"/>
      <c r="J156" s="15" t="str">
        <f t="shared" si="168"/>
        <v xml:space="preserve"> </v>
      </c>
      <c r="K156" s="15">
        <f>IF(B156&lt;=Dane_kredytowe!F$9,0,K155+1)</f>
        <v>76</v>
      </c>
      <c r="L156" s="83">
        <f t="shared" si="132"/>
        <v>1E-4</v>
      </c>
      <c r="M156" s="84">
        <f>L156+Dane_kredytowe!F$12</f>
        <v>3.0099999999999998E-2</v>
      </c>
      <c r="N156" s="79">
        <f>MAX(Dane_kredytowe!F$17+SUM(AA$5:AA155)-SUM(X$5:X156)+SUM(W$5:W156),0)</f>
        <v>82336.95045680819</v>
      </c>
      <c r="O156" s="85">
        <f>MAX(Dane_kredytowe!F$8+SUM(V$5:V155)-SUM(S$5:S156)+SUM(R$5:R155),0)</f>
        <v>259643.93067498837</v>
      </c>
      <c r="P156" s="67">
        <f t="shared" si="122"/>
        <v>360</v>
      </c>
      <c r="Q156" s="127" t="str">
        <f>IF(AND(K156&gt;0,K156&lt;=Dane_kredytowe!F$16),"tak","nie")</f>
        <v>nie</v>
      </c>
      <c r="R156" s="69"/>
      <c r="S156" s="86">
        <f>IF(Dane_kredytowe!F$19=B156,O155+V155,_xlfn.XLOOKUP(B156,Dane_kredytowe!M$9:M$18,Dane_kredytowe!N$9:N$18,0))</f>
        <v>0</v>
      </c>
      <c r="T156" s="71">
        <f t="shared" si="133"/>
        <v>-651.27352610976243</v>
      </c>
      <c r="U156" s="72">
        <f>IF(Q156="tak",T156,IF(P156-SUM(AB$5:AB156)+1&gt;0,IF(Dane_kredytowe!F$9&lt;B156,IF(SUM(AB$5:AB156)-Dane_kredytowe!F$16+1&gt;0,PMT(M156/12,P156+1-SUM(AB$5:AB156),O156),T156),0),0))</f>
        <v>-1276.2346155850762</v>
      </c>
      <c r="V156" s="72">
        <f t="shared" si="155"/>
        <v>-624.96108947531377</v>
      </c>
      <c r="W156" s="19" t="str">
        <f t="shared" si="156"/>
        <v xml:space="preserve"> </v>
      </c>
      <c r="X156" s="19">
        <f t="shared" si="169"/>
        <v>0</v>
      </c>
      <c r="Y156" s="73">
        <f t="shared" si="134"/>
        <v>-206.52851739582718</v>
      </c>
      <c r="Z156" s="19">
        <f>IF(P156-SUM(AB$5:AB156)+1&gt;0,IF(Dane_kredytowe!F$9&lt;B156,IF(SUM(AB$5:AB156)-Dane_kredytowe!F$16+1&gt;0,PMT(M156/12,P156+1-SUM(AB$5:AB156),N156),Y156),0),0)</f>
        <v>-404.71296995664608</v>
      </c>
      <c r="AA156" s="19">
        <f t="shared" si="125"/>
        <v>-198.1844525608189</v>
      </c>
      <c r="AB156" s="20">
        <f>IF(AND(Dane_kredytowe!F$9&lt;B156,SUM(AB$5:AB155)&lt;P155),1," ")</f>
        <v>1</v>
      </c>
      <c r="AD156" s="75">
        <f>IF(OR(B156&lt;Dane_kredytowe!F$15,Dane_kredytowe!F$15=""),-F156+S156,0)</f>
        <v>0</v>
      </c>
      <c r="AE156" s="75">
        <f t="shared" si="135"/>
        <v>404.71296995664608</v>
      </c>
      <c r="AG156" s="22">
        <f>Dane_kredytowe!F$17-SUM(AI$5:AI155)+SUM(W$42:W156)-SUM(X$42:X156)</f>
        <v>75314.960000000021</v>
      </c>
      <c r="AH156" s="22">
        <f t="shared" si="136"/>
        <v>188.92</v>
      </c>
      <c r="AI156" s="22">
        <f t="shared" si="137"/>
        <v>264.26</v>
      </c>
      <c r="AJ156" s="22">
        <f t="shared" si="123"/>
        <v>453.17999999999995</v>
      </c>
      <c r="AK156" s="22">
        <f t="shared" si="138"/>
        <v>1615.14</v>
      </c>
      <c r="AL156" s="22">
        <f>Dane_kredytowe!F$8-SUM(AN$5:AN155)+SUM(R$42:R155)-SUM(S$42:S156)</f>
        <v>237500.24999999991</v>
      </c>
      <c r="AM156" s="22">
        <f t="shared" si="139"/>
        <v>595.73</v>
      </c>
      <c r="AN156" s="22">
        <f t="shared" si="140"/>
        <v>833.33</v>
      </c>
      <c r="AO156" s="22">
        <f t="shared" si="117"/>
        <v>1429.06</v>
      </c>
      <c r="AP156" s="22">
        <f t="shared" si="118"/>
        <v>186.08000000000015</v>
      </c>
      <c r="AR156" s="87">
        <f t="shared" si="141"/>
        <v>41852</v>
      </c>
      <c r="AS156" s="23">
        <f>AS$5+SUM(AV$5:AV155)-SUM(X$5:X156)+SUM(W$5:W156)</f>
        <v>120350.38967043125</v>
      </c>
      <c r="AT156" s="22">
        <f t="shared" si="142"/>
        <v>-301.87889408999837</v>
      </c>
      <c r="AU156" s="22">
        <f>IF(AB156=1,IF(Q156="tak",AT156,PMT(M156/12,P156+1-SUM(AB$5:AB156),AS156)),0)</f>
        <v>-591.56142374389367</v>
      </c>
      <c r="AV156" s="22">
        <f t="shared" si="119"/>
        <v>-289.6825296538953</v>
      </c>
      <c r="AW156" s="22">
        <f t="shared" si="143"/>
        <v>-2046.9208384386209</v>
      </c>
      <c r="AY156" s="23">
        <f>AY$5+SUM(BA$5:BA155)+SUM(W$5:W155)-SUM(X$5:X155)</f>
        <v>110086.02143784182</v>
      </c>
      <c r="AZ156" s="23">
        <f t="shared" si="144"/>
        <v>-301.87889408999837</v>
      </c>
      <c r="BA156" s="23">
        <f t="shared" si="145"/>
        <v>-386.27</v>
      </c>
      <c r="BB156" s="23">
        <f t="shared" si="124"/>
        <v>-688.14889408999829</v>
      </c>
      <c r="BC156" s="23">
        <f t="shared" si="146"/>
        <v>-2381.132803330212</v>
      </c>
      <c r="BE156" s="88">
        <f t="shared" si="147"/>
        <v>2.6499999999999999E-2</v>
      </c>
      <c r="BF156" s="89">
        <f>BE156+Dane_kredytowe!F$12</f>
        <v>5.6499999999999995E-2</v>
      </c>
      <c r="BG156" s="23">
        <f>BG$5+SUM(BH$5:BH155)+SUM(R$5:R155)-SUM(S$5:S155)</f>
        <v>277486.45524362812</v>
      </c>
      <c r="BH156" s="22">
        <f t="shared" si="126"/>
        <v>-464.25545025095744</v>
      </c>
      <c r="BI156" s="22">
        <f t="shared" si="121"/>
        <v>-1306.4987267720824</v>
      </c>
      <c r="BJ156" s="22">
        <f>IF(U156&lt;0,PMT(BF156/12,Dane_kredytowe!F$13-SUM(AB$5:AB156)+1,BG156),0)</f>
        <v>-1770.7541770230398</v>
      </c>
      <c r="BL156" s="23">
        <f>BL$5+SUM(BN$5:BN155)+SUM(R$5:R155)-SUM(S$5:S155)</f>
        <v>237499.99999999994</v>
      </c>
      <c r="BM156" s="23">
        <f t="shared" si="129"/>
        <v>-1118.2291666666663</v>
      </c>
      <c r="BN156" s="23">
        <f t="shared" si="148"/>
        <v>-833.33333333333314</v>
      </c>
      <c r="BO156" s="23">
        <f t="shared" si="130"/>
        <v>-1951.5624999999995</v>
      </c>
      <c r="BQ156" s="89">
        <f t="shared" si="149"/>
        <v>4.3200000000000002E-2</v>
      </c>
      <c r="BR156" s="23">
        <f>BR$5+SUM(BS$5:BS155)+SUM(R$5:R155)-SUM(S$5:S155)+SUM(BV$5:BV155)</f>
        <v>315104.59599077509</v>
      </c>
      <c r="BS156" s="22">
        <f t="shared" si="163"/>
        <v>-635.59456468597477</v>
      </c>
      <c r="BT156" s="22">
        <f t="shared" si="164"/>
        <v>-1134.3765455667904</v>
      </c>
      <c r="BU156" s="22">
        <f>IF(U156&lt;0,PMT(BQ156/12,Dane_kredytowe!F$13-SUM(AB$5:AB156)+1,BR156),0)</f>
        <v>-1769.9711102527651</v>
      </c>
      <c r="BV156" s="22">
        <f t="shared" si="157"/>
        <v>327.57165704945874</v>
      </c>
      <c r="BX156" s="23">
        <f>BX$5+SUM(BZ$5:BZ155)+SUM(R$5:R155)-SUM(S$5:S155)+SUM(CB$5,CB155)</f>
        <v>237611.30738773569</v>
      </c>
      <c r="BY156" s="22">
        <f t="shared" si="150"/>
        <v>-855.40070659584853</v>
      </c>
      <c r="BZ156" s="22">
        <f t="shared" si="151"/>
        <v>-833.72388557100248</v>
      </c>
      <c r="CA156" s="22">
        <f t="shared" si="165"/>
        <v>-1689.124592166851</v>
      </c>
      <c r="CB156" s="22">
        <f t="shared" si="166"/>
        <v>246.72513896354462</v>
      </c>
      <c r="CD156" s="22">
        <f>CD$5+SUM(CE$5:CE155)+SUM(R$5:R155)-SUM(S$5:S155)-SUM(CF$5:CF155)</f>
        <v>300157.70339752047</v>
      </c>
      <c r="CE156" s="22">
        <f t="shared" si="158"/>
        <v>855.40070659584853</v>
      </c>
      <c r="CF156" s="22">
        <f t="shared" si="152"/>
        <v>1442.3994532033064</v>
      </c>
      <c r="CG156" s="22">
        <f t="shared" si="159"/>
        <v>586.99874660745786</v>
      </c>
      <c r="CI156" s="89">
        <f t="shared" si="153"/>
        <v>0.46260000000000001</v>
      </c>
      <c r="CJ156" s="22">
        <f t="shared" si="154"/>
        <v>-667.25</v>
      </c>
      <c r="CK156" s="15">
        <f t="shared" si="160"/>
        <v>0</v>
      </c>
      <c r="CM156" s="22">
        <f t="shared" si="161"/>
        <v>-102669.0245297056</v>
      </c>
      <c r="CN156" s="15">
        <f t="shared" si="167"/>
        <v>-226.72742916976651</v>
      </c>
    </row>
    <row r="157" spans="1:92">
      <c r="A157" s="25"/>
      <c r="B157" s="80">
        <v>41883</v>
      </c>
      <c r="C157" s="81">
        <f t="shared" si="131"/>
        <v>3.4695</v>
      </c>
      <c r="D157" s="82">
        <f t="shared" si="162"/>
        <v>3.573585</v>
      </c>
      <c r="E157" s="73">
        <f t="shared" si="115"/>
        <v>-404.71296995664613</v>
      </c>
      <c r="F157" s="19">
        <f t="shared" si="127"/>
        <v>-1446.2761987425213</v>
      </c>
      <c r="G157" s="19">
        <f t="shared" si="116"/>
        <v>-1276.2346155850762</v>
      </c>
      <c r="H157" s="19">
        <f t="shared" si="128"/>
        <v>170.04158315744507</v>
      </c>
      <c r="I157" s="62"/>
      <c r="J157" s="15" t="str">
        <f t="shared" si="168"/>
        <v xml:space="preserve"> </v>
      </c>
      <c r="K157" s="15">
        <f>IF(B157&lt;=Dane_kredytowe!F$9,0,K156+1)</f>
        <v>77</v>
      </c>
      <c r="L157" s="83">
        <f t="shared" si="132"/>
        <v>1E-4</v>
      </c>
      <c r="M157" s="84">
        <f>L157+Dane_kredytowe!F$12</f>
        <v>3.0099999999999998E-2</v>
      </c>
      <c r="N157" s="79">
        <f>MAX(Dane_kredytowe!F$17+SUM(AA$5:AA156)-SUM(X$5:X157)+SUM(W$5:W157),0)</f>
        <v>82138.766004247373</v>
      </c>
      <c r="O157" s="85">
        <f>MAX(Dane_kredytowe!F$8+SUM(V$5:V156)-SUM(S$5:S157)+SUM(R$5:R156),0)</f>
        <v>259018.96958551306</v>
      </c>
      <c r="P157" s="67">
        <f t="shared" si="122"/>
        <v>360</v>
      </c>
      <c r="Q157" s="127" t="str">
        <f>IF(AND(K157&gt;0,K157&lt;=Dane_kredytowe!F$16),"tak","nie")</f>
        <v>nie</v>
      </c>
      <c r="R157" s="69"/>
      <c r="S157" s="86">
        <f>IF(Dane_kredytowe!F$19=B157,O156+V156,_xlfn.XLOOKUP(B157,Dane_kredytowe!M$9:M$18,Dane_kredytowe!N$9:N$18,0))</f>
        <v>0</v>
      </c>
      <c r="T157" s="71">
        <f t="shared" si="133"/>
        <v>-649.70591537699522</v>
      </c>
      <c r="U157" s="72">
        <f>IF(Q157="tak",T157,IF(P157-SUM(AB$5:AB157)+1&gt;0,IF(Dane_kredytowe!F$9&lt;B157,IF(SUM(AB$5:AB157)-Dane_kredytowe!F$16+1&gt;0,PMT(M157/12,P157+1-SUM(AB$5:AB157),O157),T157),0),0))</f>
        <v>-1276.2346155850762</v>
      </c>
      <c r="V157" s="72">
        <f t="shared" si="155"/>
        <v>-626.52870020808098</v>
      </c>
      <c r="W157" s="19" t="str">
        <f t="shared" si="156"/>
        <v xml:space="preserve"> </v>
      </c>
      <c r="X157" s="19">
        <f t="shared" si="169"/>
        <v>0</v>
      </c>
      <c r="Y157" s="73">
        <f t="shared" si="134"/>
        <v>-206.03140472732048</v>
      </c>
      <c r="Z157" s="19">
        <f>IF(P157-SUM(AB$5:AB157)+1&gt;0,IF(Dane_kredytowe!F$9&lt;B157,IF(SUM(AB$5:AB157)-Dane_kredytowe!F$16+1&gt;0,PMT(M157/12,P157+1-SUM(AB$5:AB157),N157),Y157),0),0)</f>
        <v>-404.71296995664613</v>
      </c>
      <c r="AA157" s="19">
        <f t="shared" si="125"/>
        <v>-198.68156522932566</v>
      </c>
      <c r="AB157" s="20">
        <f>IF(AND(Dane_kredytowe!F$9&lt;B157,SUM(AB$5:AB156)&lt;P156),1," ")</f>
        <v>1</v>
      </c>
      <c r="AD157" s="75">
        <f>IF(OR(B157&lt;Dane_kredytowe!F$15,Dane_kredytowe!F$15=""),-F157+S157,0)</f>
        <v>0</v>
      </c>
      <c r="AE157" s="75">
        <f t="shared" si="135"/>
        <v>404.71296995664613</v>
      </c>
      <c r="AG157" s="22">
        <f>Dane_kredytowe!F$17-SUM(AI$5:AI156)+SUM(W$42:W157)-SUM(X$42:X157)</f>
        <v>75050.700000000012</v>
      </c>
      <c r="AH157" s="22">
        <f t="shared" si="136"/>
        <v>188.25</v>
      </c>
      <c r="AI157" s="22">
        <f t="shared" si="137"/>
        <v>264.26</v>
      </c>
      <c r="AJ157" s="22">
        <f t="shared" si="123"/>
        <v>452.51</v>
      </c>
      <c r="AK157" s="22">
        <f t="shared" si="138"/>
        <v>1617.08</v>
      </c>
      <c r="AL157" s="22">
        <f>Dane_kredytowe!F$8-SUM(AN$5:AN156)+SUM(R$42:R156)-SUM(S$42:S157)</f>
        <v>236666.9199999999</v>
      </c>
      <c r="AM157" s="22">
        <f t="shared" si="139"/>
        <v>593.64</v>
      </c>
      <c r="AN157" s="22">
        <f t="shared" si="140"/>
        <v>833.33</v>
      </c>
      <c r="AO157" s="22">
        <f t="shared" si="117"/>
        <v>1426.97</v>
      </c>
      <c r="AP157" s="22">
        <f t="shared" si="118"/>
        <v>190.1099999999999</v>
      </c>
      <c r="AR157" s="87">
        <f t="shared" si="141"/>
        <v>41883</v>
      </c>
      <c r="AS157" s="23">
        <f>AS$5+SUM(AV$5:AV156)-SUM(X$5:X157)+SUM(W$5:W157)</f>
        <v>120060.70714077736</v>
      </c>
      <c r="AT157" s="22">
        <f t="shared" si="142"/>
        <v>-301.1522737447832</v>
      </c>
      <c r="AU157" s="22">
        <f>IF(AB157=1,IF(Q157="tak",AT157,PMT(M157/12,P157+1-SUM(AB$5:AB157),AS157)),0)</f>
        <v>-591.56142374389378</v>
      </c>
      <c r="AV157" s="22">
        <f t="shared" si="119"/>
        <v>-290.40914999911058</v>
      </c>
      <c r="AW157" s="22">
        <f t="shared" si="143"/>
        <v>-2052.4223596794395</v>
      </c>
      <c r="AY157" s="23">
        <f>AY$5+SUM(BA$5:BA156)+SUM(W$5:W156)-SUM(X$5:X156)</f>
        <v>109699.75143784183</v>
      </c>
      <c r="AZ157" s="23">
        <f t="shared" si="144"/>
        <v>-301.1522737447832</v>
      </c>
      <c r="BA157" s="23">
        <f t="shared" si="145"/>
        <v>-386.27</v>
      </c>
      <c r="BB157" s="23">
        <f t="shared" si="124"/>
        <v>-687.42227374478318</v>
      </c>
      <c r="BC157" s="23">
        <f t="shared" si="146"/>
        <v>-2385.0115787575251</v>
      </c>
      <c r="BE157" s="88">
        <f t="shared" si="147"/>
        <v>2.4500000000000001E-2</v>
      </c>
      <c r="BF157" s="89">
        <f>BE157+Dane_kredytowe!F$12</f>
        <v>5.45E-2</v>
      </c>
      <c r="BG157" s="23">
        <f>BG$5+SUM(BH$5:BH156)+SUM(R$5:R156)-SUM(S$5:S156)</f>
        <v>277022.19979337719</v>
      </c>
      <c r="BH157" s="22">
        <f t="shared" si="126"/>
        <v>-479.91579822742915</v>
      </c>
      <c r="BI157" s="22">
        <f t="shared" si="121"/>
        <v>-1258.1424907282546</v>
      </c>
      <c r="BJ157" s="22">
        <f>IF(U157&lt;0,PMT(BF157/12,Dane_kredytowe!F$13-SUM(AB$5:AB157)+1,BG157),0)</f>
        <v>-1738.0582889556838</v>
      </c>
      <c r="BL157" s="23">
        <f>BL$5+SUM(BN$5:BN156)+SUM(R$5:R156)-SUM(S$5:S156)</f>
        <v>236666.6666666666</v>
      </c>
      <c r="BM157" s="23">
        <f t="shared" si="129"/>
        <v>-1074.8611111111109</v>
      </c>
      <c r="BN157" s="23">
        <f t="shared" si="148"/>
        <v>-833.33333333333314</v>
      </c>
      <c r="BO157" s="23">
        <f t="shared" si="130"/>
        <v>-1908.1944444444439</v>
      </c>
      <c r="BQ157" s="89">
        <f t="shared" si="149"/>
        <v>4.1200000000000001E-2</v>
      </c>
      <c r="BR157" s="23">
        <f>BR$5+SUM(BS$5:BS156)+SUM(R$5:R156)-SUM(S$5:S156)+SUM(BV$5:BV156)</f>
        <v>314796.57308313856</v>
      </c>
      <c r="BS157" s="22">
        <f t="shared" si="163"/>
        <v>-656.25634516900709</v>
      </c>
      <c r="BT157" s="22">
        <f t="shared" si="164"/>
        <v>-1080.8015675854424</v>
      </c>
      <c r="BU157" s="22">
        <f>IF(U157&lt;0,PMT(BQ157/12,Dane_kredytowe!F$13-SUM(AB$5:AB157)+1,BR157),0)</f>
        <v>-1737.0579127544495</v>
      </c>
      <c r="BV157" s="22">
        <f t="shared" si="157"/>
        <v>290.78171401192822</v>
      </c>
      <c r="BX157" s="23">
        <f>BX$5+SUM(BZ$5:BZ156)+SUM(R$5:R156)-SUM(S$5:S156)+SUM(CB$5,CB156)</f>
        <v>236748.19837230881</v>
      </c>
      <c r="BY157" s="22">
        <f t="shared" si="150"/>
        <v>-812.83548107826027</v>
      </c>
      <c r="BZ157" s="22">
        <f t="shared" si="151"/>
        <v>-833.62041680390428</v>
      </c>
      <c r="CA157" s="22">
        <f t="shared" si="165"/>
        <v>-1646.4558978821647</v>
      </c>
      <c r="CB157" s="22">
        <f t="shared" si="166"/>
        <v>200.17969913964339</v>
      </c>
      <c r="CD157" s="22">
        <f>CD$5+SUM(CE$5:CE156)+SUM(R$5:R156)-SUM(S$5:S156)-SUM(CF$5:CF156)</f>
        <v>299570.70465091302</v>
      </c>
      <c r="CE157" s="22">
        <f t="shared" si="158"/>
        <v>812.83548107826027</v>
      </c>
      <c r="CF157" s="22">
        <f t="shared" si="152"/>
        <v>1446.2761987425213</v>
      </c>
      <c r="CG157" s="22">
        <f t="shared" si="159"/>
        <v>633.440717664261</v>
      </c>
      <c r="CI157" s="89">
        <f t="shared" si="153"/>
        <v>0.46260000000000001</v>
      </c>
      <c r="CJ157" s="22">
        <f t="shared" si="154"/>
        <v>-669.05</v>
      </c>
      <c r="CK157" s="15">
        <f t="shared" si="160"/>
        <v>0</v>
      </c>
      <c r="CM157" s="22">
        <f t="shared" si="161"/>
        <v>-104115.30072844811</v>
      </c>
      <c r="CN157" s="15">
        <f t="shared" si="167"/>
        <v>-212.56873898724825</v>
      </c>
    </row>
    <row r="158" spans="1:92">
      <c r="A158" s="25"/>
      <c r="B158" s="80">
        <v>41913</v>
      </c>
      <c r="C158" s="81">
        <f t="shared" si="131"/>
        <v>3.4813999999999998</v>
      </c>
      <c r="D158" s="82">
        <f t="shared" si="162"/>
        <v>3.585842</v>
      </c>
      <c r="E158" s="73">
        <f t="shared" si="115"/>
        <v>-404.71296995664608</v>
      </c>
      <c r="F158" s="19">
        <f t="shared" si="127"/>
        <v>-1451.2367656152796</v>
      </c>
      <c r="G158" s="19">
        <f t="shared" si="116"/>
        <v>-1276.2346155850762</v>
      </c>
      <c r="H158" s="19">
        <f t="shared" si="128"/>
        <v>175.00215003020344</v>
      </c>
      <c r="I158" s="62"/>
      <c r="J158" s="15" t="str">
        <f t="shared" si="168"/>
        <v xml:space="preserve"> </v>
      </c>
      <c r="K158" s="15">
        <f>IF(B158&lt;=Dane_kredytowe!F$9,0,K157+1)</f>
        <v>78</v>
      </c>
      <c r="L158" s="83">
        <f t="shared" si="132"/>
        <v>1E-4</v>
      </c>
      <c r="M158" s="84">
        <f>L158+Dane_kredytowe!F$12</f>
        <v>3.0099999999999998E-2</v>
      </c>
      <c r="N158" s="79">
        <f>MAX(Dane_kredytowe!F$17+SUM(AA$5:AA157)-SUM(X$5:X158)+SUM(W$5:W158),0)</f>
        <v>81940.084439018043</v>
      </c>
      <c r="O158" s="85">
        <f>MAX(Dane_kredytowe!F$8+SUM(V$5:V157)-SUM(S$5:S158)+SUM(R$5:R157),0)</f>
        <v>258392.440885305</v>
      </c>
      <c r="P158" s="67">
        <f t="shared" si="122"/>
        <v>360</v>
      </c>
      <c r="Q158" s="127" t="str">
        <f>IF(AND(K158&gt;0,K158&lt;=Dane_kredytowe!F$16),"tak","nie")</f>
        <v>nie</v>
      </c>
      <c r="R158" s="69"/>
      <c r="S158" s="86">
        <f>IF(Dane_kredytowe!F$19=B158,O157+V157,_xlfn.XLOOKUP(B158,Dane_kredytowe!M$9:M$18,Dane_kredytowe!N$9:N$18,0))</f>
        <v>0</v>
      </c>
      <c r="T158" s="71">
        <f t="shared" si="133"/>
        <v>-648.13437255397332</v>
      </c>
      <c r="U158" s="72">
        <f>IF(Q158="tak",T158,IF(P158-SUM(AB$5:AB158)+1&gt;0,IF(Dane_kredytowe!F$9&lt;B158,IF(SUM(AB$5:AB158)-Dane_kredytowe!F$16+1&gt;0,PMT(M158/12,P158+1-SUM(AB$5:AB158),O158),T158),0),0))</f>
        <v>-1276.2346155850762</v>
      </c>
      <c r="V158" s="72">
        <f t="shared" si="155"/>
        <v>-628.10024303110288</v>
      </c>
      <c r="W158" s="19" t="str">
        <f t="shared" si="156"/>
        <v xml:space="preserve"> </v>
      </c>
      <c r="X158" s="19">
        <f t="shared" si="169"/>
        <v>0</v>
      </c>
      <c r="Y158" s="73">
        <f t="shared" si="134"/>
        <v>-205.53304513453691</v>
      </c>
      <c r="Z158" s="19">
        <f>IF(P158-SUM(AB$5:AB158)+1&gt;0,IF(Dane_kredytowe!F$9&lt;B158,IF(SUM(AB$5:AB158)-Dane_kredytowe!F$16+1&gt;0,PMT(M158/12,P158+1-SUM(AB$5:AB158),N158),Y158),0),0)</f>
        <v>-404.71296995664608</v>
      </c>
      <c r="AA158" s="19">
        <f t="shared" si="125"/>
        <v>-199.17992482210917</v>
      </c>
      <c r="AB158" s="20">
        <f>IF(AND(Dane_kredytowe!F$9&lt;B158,SUM(AB$5:AB157)&lt;P157),1," ")</f>
        <v>1</v>
      </c>
      <c r="AD158" s="75">
        <f>IF(OR(B158&lt;Dane_kredytowe!F$15,Dane_kredytowe!F$15=""),-F158+S158,0)</f>
        <v>0</v>
      </c>
      <c r="AE158" s="75">
        <f t="shared" si="135"/>
        <v>404.71296995664608</v>
      </c>
      <c r="AG158" s="22">
        <f>Dane_kredytowe!F$17-SUM(AI$5:AI157)+SUM(W$42:W158)-SUM(X$42:X158)</f>
        <v>74786.440000000017</v>
      </c>
      <c r="AH158" s="22">
        <f t="shared" si="136"/>
        <v>187.59</v>
      </c>
      <c r="AI158" s="22">
        <f t="shared" si="137"/>
        <v>264.26</v>
      </c>
      <c r="AJ158" s="22">
        <f t="shared" si="123"/>
        <v>451.85</v>
      </c>
      <c r="AK158" s="22">
        <f t="shared" si="138"/>
        <v>1620.26</v>
      </c>
      <c r="AL158" s="22">
        <f>Dane_kredytowe!F$8-SUM(AN$5:AN157)+SUM(R$42:R157)-SUM(S$42:S158)</f>
        <v>235833.58999999991</v>
      </c>
      <c r="AM158" s="22">
        <f t="shared" si="139"/>
        <v>591.54999999999995</v>
      </c>
      <c r="AN158" s="22">
        <f t="shared" si="140"/>
        <v>833.33</v>
      </c>
      <c r="AO158" s="22">
        <f t="shared" si="117"/>
        <v>1424.88</v>
      </c>
      <c r="AP158" s="22">
        <f t="shared" si="118"/>
        <v>195.37999999999988</v>
      </c>
      <c r="AR158" s="87">
        <f t="shared" si="141"/>
        <v>41913</v>
      </c>
      <c r="AS158" s="23">
        <f>AS$5+SUM(AV$5:AV157)-SUM(X$5:X158)+SUM(W$5:W158)</f>
        <v>119770.29799077824</v>
      </c>
      <c r="AT158" s="22">
        <f t="shared" si="142"/>
        <v>-300.42383079353539</v>
      </c>
      <c r="AU158" s="22">
        <f>IF(AB158=1,IF(Q158="tak",AT158,PMT(M158/12,P158+1-SUM(AB$5:AB158),AS158)),0)</f>
        <v>-591.56142374389367</v>
      </c>
      <c r="AV158" s="22">
        <f t="shared" si="119"/>
        <v>-291.13759295035828</v>
      </c>
      <c r="AW158" s="22">
        <f t="shared" si="143"/>
        <v>-2059.4619406219913</v>
      </c>
      <c r="AY158" s="23">
        <f>AY$5+SUM(BA$5:BA157)+SUM(W$5:W157)-SUM(X$5:X157)</f>
        <v>109313.48143784182</v>
      </c>
      <c r="AZ158" s="23">
        <f t="shared" si="144"/>
        <v>-300.42383079353539</v>
      </c>
      <c r="BA158" s="23">
        <f t="shared" si="145"/>
        <v>-386.27</v>
      </c>
      <c r="BB158" s="23">
        <f t="shared" si="124"/>
        <v>-686.69383079353543</v>
      </c>
      <c r="BC158" s="23">
        <f t="shared" si="146"/>
        <v>-2390.6559025246142</v>
      </c>
      <c r="BE158" s="88">
        <f t="shared" si="147"/>
        <v>2.07E-2</v>
      </c>
      <c r="BF158" s="89">
        <f>BE158+Dane_kredytowe!F$12</f>
        <v>5.0699999999999995E-2</v>
      </c>
      <c r="BG158" s="23">
        <f>BG$5+SUM(BH$5:BH157)+SUM(R$5:R157)-SUM(S$5:S157)</f>
        <v>276542.28399514972</v>
      </c>
      <c r="BH158" s="22">
        <f t="shared" si="126"/>
        <v>-508.55503709075288</v>
      </c>
      <c r="BI158" s="22">
        <f t="shared" si="121"/>
        <v>-1168.3911498795076</v>
      </c>
      <c r="BJ158" s="22">
        <f>IF(U158&lt;0,PMT(BF158/12,Dane_kredytowe!F$13-SUM(AB$5:AB158)+1,BG158),0)</f>
        <v>-1676.9461869702604</v>
      </c>
      <c r="BL158" s="23">
        <f>BL$5+SUM(BN$5:BN157)+SUM(R$5:R157)-SUM(S$5:S157)</f>
        <v>235833.33333333326</v>
      </c>
      <c r="BM158" s="23">
        <f t="shared" si="129"/>
        <v>-996.39583333333292</v>
      </c>
      <c r="BN158" s="23">
        <f t="shared" si="148"/>
        <v>-833.33333333333303</v>
      </c>
      <c r="BO158" s="23">
        <f t="shared" si="130"/>
        <v>-1829.7291666666661</v>
      </c>
      <c r="BQ158" s="89">
        <f t="shared" si="149"/>
        <v>3.7400000000000003E-2</v>
      </c>
      <c r="BR158" s="23">
        <f>BR$5+SUM(BS$5:BS157)+SUM(R$5:R157)-SUM(S$5:S157)+SUM(BV$5:BV157)</f>
        <v>314431.09845198155</v>
      </c>
      <c r="BS158" s="22">
        <f t="shared" si="163"/>
        <v>-693.81091176809502</v>
      </c>
      <c r="BT158" s="22">
        <f t="shared" si="164"/>
        <v>-979.9769235086759</v>
      </c>
      <c r="BU158" s="22">
        <f>IF(U158&lt;0,PMT(BQ158/12,Dane_kredytowe!F$13-SUM(AB$5:AB158)+1,BR158),0)</f>
        <v>-1673.7878352767709</v>
      </c>
      <c r="BV158" s="22">
        <f t="shared" si="157"/>
        <v>222.55106966149128</v>
      </c>
      <c r="BX158" s="23">
        <f>BX$5+SUM(BZ$5:BZ157)+SUM(R$5:R157)-SUM(S$5:S157)+SUM(CB$5,CB157)</f>
        <v>235868.032515681</v>
      </c>
      <c r="BY158" s="22">
        <f t="shared" si="150"/>
        <v>-735.12203467387246</v>
      </c>
      <c r="BZ158" s="22">
        <f t="shared" si="151"/>
        <v>-833.45594528509184</v>
      </c>
      <c r="CA158" s="22">
        <f t="shared" si="165"/>
        <v>-1568.5779799589643</v>
      </c>
      <c r="CB158" s="22">
        <f t="shared" si="166"/>
        <v>117.34121434368467</v>
      </c>
      <c r="CD158" s="22">
        <f>CD$5+SUM(CE$5:CE157)+SUM(R$5:R157)-SUM(S$5:S157)-SUM(CF$5:CF157)</f>
        <v>298937.2639332487</v>
      </c>
      <c r="CE158" s="22">
        <f t="shared" si="158"/>
        <v>735.12203467387246</v>
      </c>
      <c r="CF158" s="22">
        <f t="shared" si="152"/>
        <v>1451.2367656152796</v>
      </c>
      <c r="CG158" s="22">
        <f t="shared" si="159"/>
        <v>716.11473094140717</v>
      </c>
      <c r="CI158" s="89">
        <f t="shared" si="153"/>
        <v>0.46260000000000001</v>
      </c>
      <c r="CJ158" s="22">
        <f t="shared" si="154"/>
        <v>-671.34</v>
      </c>
      <c r="CK158" s="15">
        <f t="shared" si="160"/>
        <v>0</v>
      </c>
      <c r="CM158" s="22">
        <f t="shared" si="161"/>
        <v>-105566.53749406339</v>
      </c>
      <c r="CN158" s="15">
        <f t="shared" si="167"/>
        <v>-182.10227717725934</v>
      </c>
    </row>
    <row r="159" spans="1:92">
      <c r="A159" s="25"/>
      <c r="B159" s="80">
        <v>41944</v>
      </c>
      <c r="C159" s="81">
        <f t="shared" si="131"/>
        <v>3.5011000000000001</v>
      </c>
      <c r="D159" s="82">
        <f t="shared" si="162"/>
        <v>3.6061330000000003</v>
      </c>
      <c r="E159" s="73">
        <f t="shared" si="115"/>
        <v>-404.71296995664596</v>
      </c>
      <c r="F159" s="19">
        <f t="shared" si="127"/>
        <v>-1459.4487964886696</v>
      </c>
      <c r="G159" s="19">
        <f t="shared" si="116"/>
        <v>-1276.2346155850762</v>
      </c>
      <c r="H159" s="19">
        <f t="shared" si="128"/>
        <v>183.21418090359339</v>
      </c>
      <c r="I159" s="62"/>
      <c r="J159" s="15" t="str">
        <f t="shared" si="168"/>
        <v xml:space="preserve"> </v>
      </c>
      <c r="K159" s="15">
        <f>IF(B159&lt;=Dane_kredytowe!F$9,0,K158+1)</f>
        <v>79</v>
      </c>
      <c r="L159" s="83">
        <f t="shared" si="132"/>
        <v>1E-4</v>
      </c>
      <c r="M159" s="84">
        <f>L159+Dane_kredytowe!F$12</f>
        <v>3.0099999999999998E-2</v>
      </c>
      <c r="N159" s="79">
        <f>MAX(Dane_kredytowe!F$17+SUM(AA$5:AA158)-SUM(X$5:X159)+SUM(W$5:W159),0)</f>
        <v>81740.904514195936</v>
      </c>
      <c r="O159" s="85">
        <f>MAX(Dane_kredytowe!F$8+SUM(V$5:V158)-SUM(S$5:S159)+SUM(R$5:R158),0)</f>
        <v>257764.34064227389</v>
      </c>
      <c r="P159" s="67">
        <f t="shared" si="122"/>
        <v>360</v>
      </c>
      <c r="Q159" s="127" t="str">
        <f>IF(AND(K159&gt;0,K159&lt;=Dane_kredytowe!F$16),"tak","nie")</f>
        <v>nie</v>
      </c>
      <c r="R159" s="69"/>
      <c r="S159" s="86">
        <f>IF(Dane_kredytowe!F$19=B159,O158+V158,_xlfn.XLOOKUP(B159,Dane_kredytowe!M$9:M$18,Dane_kredytowe!N$9:N$18,0))</f>
        <v>0</v>
      </c>
      <c r="T159" s="71">
        <f t="shared" si="133"/>
        <v>-646.55888777770372</v>
      </c>
      <c r="U159" s="72">
        <f>IF(Q159="tak",T159,IF(P159-SUM(AB$5:AB159)+1&gt;0,IF(Dane_kredytowe!F$9&lt;B159,IF(SUM(AB$5:AB159)-Dane_kredytowe!F$16+1&gt;0,PMT(M159/12,P159+1-SUM(AB$5:AB159),O159),T159),0),0))</f>
        <v>-1276.2346155850762</v>
      </c>
      <c r="V159" s="72">
        <f t="shared" si="155"/>
        <v>-629.67572780737248</v>
      </c>
      <c r="W159" s="19" t="str">
        <f t="shared" si="156"/>
        <v xml:space="preserve"> </v>
      </c>
      <c r="X159" s="19">
        <f t="shared" si="169"/>
        <v>0</v>
      </c>
      <c r="Y159" s="73">
        <f t="shared" si="134"/>
        <v>-205.0334354897748</v>
      </c>
      <c r="Z159" s="19">
        <f>IF(P159-SUM(AB$5:AB159)+1&gt;0,IF(Dane_kredytowe!F$9&lt;B159,IF(SUM(AB$5:AB159)-Dane_kredytowe!F$16+1&gt;0,PMT(M159/12,P159+1-SUM(AB$5:AB159),N159),Y159),0),0)</f>
        <v>-404.71296995664596</v>
      </c>
      <c r="AA159" s="19">
        <f t="shared" si="125"/>
        <v>-199.67953446687116</v>
      </c>
      <c r="AB159" s="20">
        <f>IF(AND(Dane_kredytowe!F$9&lt;B159,SUM(AB$5:AB158)&lt;P158),1," ")</f>
        <v>1</v>
      </c>
      <c r="AD159" s="75">
        <f>IF(OR(B159&lt;Dane_kredytowe!F$15,Dane_kredytowe!F$15=""),-F159+S159,0)</f>
        <v>0</v>
      </c>
      <c r="AE159" s="75">
        <f t="shared" si="135"/>
        <v>404.71296995664596</v>
      </c>
      <c r="AG159" s="22">
        <f>Dane_kredytowe!F$17-SUM(AI$5:AI158)+SUM(W$42:W159)-SUM(X$42:X159)</f>
        <v>74522.180000000022</v>
      </c>
      <c r="AH159" s="22">
        <f t="shared" si="136"/>
        <v>186.93</v>
      </c>
      <c r="AI159" s="22">
        <f t="shared" si="137"/>
        <v>264.26</v>
      </c>
      <c r="AJ159" s="22">
        <f t="shared" si="123"/>
        <v>451.19</v>
      </c>
      <c r="AK159" s="22">
        <f t="shared" si="138"/>
        <v>1627.05</v>
      </c>
      <c r="AL159" s="22">
        <f>Dane_kredytowe!F$8-SUM(AN$5:AN158)+SUM(R$42:R158)-SUM(S$42:S159)</f>
        <v>235000.25999999989</v>
      </c>
      <c r="AM159" s="22">
        <f t="shared" si="139"/>
        <v>589.46</v>
      </c>
      <c r="AN159" s="22">
        <f t="shared" si="140"/>
        <v>833.33</v>
      </c>
      <c r="AO159" s="22">
        <f t="shared" si="117"/>
        <v>1422.79</v>
      </c>
      <c r="AP159" s="22">
        <f t="shared" si="118"/>
        <v>204.26</v>
      </c>
      <c r="AR159" s="87">
        <f t="shared" si="141"/>
        <v>41944</v>
      </c>
      <c r="AS159" s="23">
        <f>AS$5+SUM(AV$5:AV158)-SUM(X$5:X159)+SUM(W$5:W159)</f>
        <v>119479.16039782789</v>
      </c>
      <c r="AT159" s="22">
        <f t="shared" si="142"/>
        <v>-299.69356066455163</v>
      </c>
      <c r="AU159" s="22">
        <f>IF(AB159=1,IF(Q159="tak",AT159,PMT(M159/12,P159+1-SUM(AB$5:AB159),AS159)),0)</f>
        <v>-591.56142374389356</v>
      </c>
      <c r="AV159" s="22">
        <f t="shared" si="119"/>
        <v>-291.86786307934193</v>
      </c>
      <c r="AW159" s="22">
        <f t="shared" si="143"/>
        <v>-2071.1157006697458</v>
      </c>
      <c r="AY159" s="23">
        <f>AY$5+SUM(BA$5:BA158)+SUM(W$5:W158)-SUM(X$5:X158)</f>
        <v>108927.21143784182</v>
      </c>
      <c r="AZ159" s="23">
        <f t="shared" si="144"/>
        <v>-299.69356066455163</v>
      </c>
      <c r="BA159" s="23">
        <f t="shared" si="145"/>
        <v>-386.27</v>
      </c>
      <c r="BB159" s="23">
        <f t="shared" si="124"/>
        <v>-685.96356066455155</v>
      </c>
      <c r="BC159" s="23">
        <f t="shared" si="146"/>
        <v>-2401.6270222426615</v>
      </c>
      <c r="BE159" s="88">
        <f t="shared" si="147"/>
        <v>2.0299999999999999E-2</v>
      </c>
      <c r="BF159" s="89">
        <f>BE159+Dane_kredytowe!F$12</f>
        <v>5.0299999999999997E-2</v>
      </c>
      <c r="BG159" s="23">
        <f>BG$5+SUM(BH$5:BH158)+SUM(R$5:R158)-SUM(S$5:S158)</f>
        <v>276033.72895805899</v>
      </c>
      <c r="BH159" s="22">
        <f t="shared" si="126"/>
        <v>-513.55448290227037</v>
      </c>
      <c r="BI159" s="22">
        <f t="shared" si="121"/>
        <v>-1157.0413805491971</v>
      </c>
      <c r="BJ159" s="22">
        <f>IF(U159&lt;0,PMT(BF159/12,Dane_kredytowe!F$13-SUM(AB$5:AB159)+1,BG159),0)</f>
        <v>-1670.5958634514675</v>
      </c>
      <c r="BL159" s="23">
        <f>BL$5+SUM(BN$5:BN158)+SUM(R$5:R158)-SUM(S$5:S158)</f>
        <v>234999.99999999994</v>
      </c>
      <c r="BM159" s="23">
        <f t="shared" si="129"/>
        <v>-985.0416666666664</v>
      </c>
      <c r="BN159" s="23">
        <f t="shared" si="148"/>
        <v>-833.33333333333314</v>
      </c>
      <c r="BO159" s="23">
        <f t="shared" si="130"/>
        <v>-1818.3749999999995</v>
      </c>
      <c r="BQ159" s="89">
        <f t="shared" si="149"/>
        <v>3.6999999999999998E-2</v>
      </c>
      <c r="BR159" s="23">
        <f>BR$5+SUM(BS$5:BS158)+SUM(R$5:R158)-SUM(S$5:S158)+SUM(BV$5:BV158)</f>
        <v>313959.83860987489</v>
      </c>
      <c r="BS159" s="22">
        <f t="shared" si="163"/>
        <v>-700.1974404953047</v>
      </c>
      <c r="BT159" s="22">
        <f t="shared" si="164"/>
        <v>-968.04283571378085</v>
      </c>
      <c r="BU159" s="22">
        <f>IF(U159&lt;0,PMT(BQ159/12,Dane_kredytowe!F$13-SUM(AB$5:AB159)+1,BR159),0)</f>
        <v>-1668.2402762090856</v>
      </c>
      <c r="BV159" s="22">
        <f t="shared" si="157"/>
        <v>208.79147972041596</v>
      </c>
      <c r="BX159" s="23">
        <f>BX$5+SUM(BZ$5:BZ158)+SUM(R$5:R158)-SUM(S$5:S158)+SUM(CB$5,CB158)</f>
        <v>234951.73808559994</v>
      </c>
      <c r="BY159" s="22">
        <f t="shared" si="150"/>
        <v>-724.43452576393304</v>
      </c>
      <c r="BZ159" s="22">
        <f t="shared" si="151"/>
        <v>-833.16219179290761</v>
      </c>
      <c r="CA159" s="22">
        <f t="shared" si="165"/>
        <v>-1557.5967175568408</v>
      </c>
      <c r="CB159" s="22">
        <f t="shared" si="166"/>
        <v>98.147921068171172</v>
      </c>
      <c r="CD159" s="22">
        <f>CD$5+SUM(CE$5:CE158)+SUM(R$5:R158)-SUM(S$5:S158)-SUM(CF$5:CF158)</f>
        <v>298221.14920230734</v>
      </c>
      <c r="CE159" s="22">
        <f t="shared" si="158"/>
        <v>724.43452576393304</v>
      </c>
      <c r="CF159" s="22">
        <f t="shared" si="152"/>
        <v>1459.4487964886696</v>
      </c>
      <c r="CG159" s="22">
        <f t="shared" si="159"/>
        <v>735.01427072473655</v>
      </c>
      <c r="CI159" s="89">
        <f t="shared" si="153"/>
        <v>0.46550000000000002</v>
      </c>
      <c r="CJ159" s="22">
        <f t="shared" si="154"/>
        <v>-679.37</v>
      </c>
      <c r="CK159" s="15">
        <f t="shared" si="160"/>
        <v>0</v>
      </c>
      <c r="CM159" s="22">
        <f t="shared" si="161"/>
        <v>-107025.98629055206</v>
      </c>
      <c r="CN159" s="15">
        <f t="shared" si="167"/>
        <v>-181.05229347485056</v>
      </c>
    </row>
    <row r="160" spans="1:92">
      <c r="A160" s="25"/>
      <c r="B160" s="80">
        <v>41974</v>
      </c>
      <c r="C160" s="81">
        <f t="shared" si="131"/>
        <v>3.5123000000000002</v>
      </c>
      <c r="D160" s="82">
        <f t="shared" si="162"/>
        <v>3.6176690000000002</v>
      </c>
      <c r="E160" s="73">
        <f t="shared" si="115"/>
        <v>-404.71296995664608</v>
      </c>
      <c r="F160" s="19">
        <f t="shared" si="127"/>
        <v>-1464.11756531009</v>
      </c>
      <c r="G160" s="19">
        <f t="shared" si="116"/>
        <v>-1276.2346155850762</v>
      </c>
      <c r="H160" s="19">
        <f t="shared" si="128"/>
        <v>187.88294972501376</v>
      </c>
      <c r="I160" s="62"/>
      <c r="J160" s="15" t="str">
        <f t="shared" si="168"/>
        <v xml:space="preserve"> </v>
      </c>
      <c r="K160" s="15">
        <f>IF(B160&lt;=Dane_kredytowe!F$9,0,K159+1)</f>
        <v>80</v>
      </c>
      <c r="L160" s="83">
        <f t="shared" si="132"/>
        <v>1E-4</v>
      </c>
      <c r="M160" s="84">
        <f>L160+Dane_kredytowe!F$12</f>
        <v>3.0099999999999998E-2</v>
      </c>
      <c r="N160" s="79">
        <f>MAX(Dane_kredytowe!F$17+SUM(AA$5:AA159)-SUM(X$5:X160)+SUM(W$5:W160),0)</f>
        <v>81541.224979729071</v>
      </c>
      <c r="O160" s="85">
        <f>MAX(Dane_kredytowe!F$8+SUM(V$5:V159)-SUM(S$5:S160)+SUM(R$5:R159),0)</f>
        <v>257134.6649144665</v>
      </c>
      <c r="P160" s="67">
        <f t="shared" si="122"/>
        <v>360</v>
      </c>
      <c r="Q160" s="127" t="str">
        <f>IF(AND(K160&gt;0,K160&lt;=Dane_kredytowe!F$16),"tak","nie")</f>
        <v>nie</v>
      </c>
      <c r="R160" s="69"/>
      <c r="S160" s="86">
        <f>IF(Dane_kredytowe!F$19=B160,O159+V159,_xlfn.XLOOKUP(B160,Dane_kredytowe!M$9:M$18,Dane_kredytowe!N$9:N$18,0))</f>
        <v>0</v>
      </c>
      <c r="T160" s="71">
        <f t="shared" si="133"/>
        <v>-644.97945116045344</v>
      </c>
      <c r="U160" s="72">
        <f>IF(Q160="tak",T160,IF(P160-SUM(AB$5:AB160)+1&gt;0,IF(Dane_kredytowe!F$9&lt;B160,IF(SUM(AB$5:AB160)-Dane_kredytowe!F$16+1&gt;0,PMT(M160/12,P160+1-SUM(AB$5:AB160),O160),T160),0),0))</f>
        <v>-1276.2346155850762</v>
      </c>
      <c r="V160" s="72">
        <f t="shared" si="155"/>
        <v>-631.25516442462276</v>
      </c>
      <c r="W160" s="19" t="str">
        <f t="shared" si="156"/>
        <v xml:space="preserve"> </v>
      </c>
      <c r="X160" s="19">
        <f t="shared" si="169"/>
        <v>0</v>
      </c>
      <c r="Y160" s="73">
        <f t="shared" si="134"/>
        <v>-204.53257265748709</v>
      </c>
      <c r="Z160" s="19">
        <f>IF(P160-SUM(AB$5:AB160)+1&gt;0,IF(Dane_kredytowe!F$9&lt;B160,IF(SUM(AB$5:AB160)-Dane_kredytowe!F$16+1&gt;0,PMT(M160/12,P160+1-SUM(AB$5:AB160),N160),Y160),0),0)</f>
        <v>-404.71296995664608</v>
      </c>
      <c r="AA160" s="19">
        <f t="shared" si="125"/>
        <v>-200.18039729915898</v>
      </c>
      <c r="AB160" s="20">
        <f>IF(AND(Dane_kredytowe!F$9&lt;B160,SUM(AB$5:AB159)&lt;P159),1," ")</f>
        <v>1</v>
      </c>
      <c r="AD160" s="75">
        <f>IF(OR(B160&lt;Dane_kredytowe!F$15,Dane_kredytowe!F$15=""),-F160+S160,0)</f>
        <v>0</v>
      </c>
      <c r="AE160" s="75">
        <f t="shared" si="135"/>
        <v>404.71296995664608</v>
      </c>
      <c r="AG160" s="22">
        <f>Dane_kredytowe!F$17-SUM(AI$5:AI159)+SUM(W$42:W160)-SUM(X$42:X160)</f>
        <v>74257.920000000027</v>
      </c>
      <c r="AH160" s="22">
        <f t="shared" si="136"/>
        <v>186.26</v>
      </c>
      <c r="AI160" s="22">
        <f t="shared" si="137"/>
        <v>264.26</v>
      </c>
      <c r="AJ160" s="22">
        <f t="shared" si="123"/>
        <v>450.52</v>
      </c>
      <c r="AK160" s="22">
        <f t="shared" si="138"/>
        <v>1629.83</v>
      </c>
      <c r="AL160" s="22">
        <f>Dane_kredytowe!F$8-SUM(AN$5:AN159)+SUM(R$42:R159)-SUM(S$42:S160)</f>
        <v>234166.92999999991</v>
      </c>
      <c r="AM160" s="22">
        <f t="shared" si="139"/>
        <v>587.37</v>
      </c>
      <c r="AN160" s="22">
        <f t="shared" si="140"/>
        <v>833.33</v>
      </c>
      <c r="AO160" s="22">
        <f t="shared" si="117"/>
        <v>1420.7</v>
      </c>
      <c r="AP160" s="22">
        <f t="shared" si="118"/>
        <v>209.12999999999988</v>
      </c>
      <c r="AR160" s="87">
        <f t="shared" si="141"/>
        <v>41974</v>
      </c>
      <c r="AS160" s="23">
        <f>AS$5+SUM(AV$5:AV159)-SUM(X$5:X160)+SUM(W$5:W160)</f>
        <v>119187.29253474854</v>
      </c>
      <c r="AT160" s="22">
        <f t="shared" si="142"/>
        <v>-298.96145877466091</v>
      </c>
      <c r="AU160" s="22">
        <f>IF(AB160=1,IF(Q160="tak",AT160,PMT(M160/12,P160+1-SUM(AB$5:AB160),AS160)),0)</f>
        <v>-591.56142374389367</v>
      </c>
      <c r="AV160" s="22">
        <f t="shared" si="119"/>
        <v>-292.59996496923276</v>
      </c>
      <c r="AW160" s="22">
        <f t="shared" si="143"/>
        <v>-2077.7411886156779</v>
      </c>
      <c r="AY160" s="23">
        <f>AY$5+SUM(BA$5:BA159)+SUM(W$5:W159)-SUM(X$5:X159)</f>
        <v>108540.94143784182</v>
      </c>
      <c r="AZ160" s="23">
        <f t="shared" si="144"/>
        <v>-298.96145877466091</v>
      </c>
      <c r="BA160" s="23">
        <f t="shared" si="145"/>
        <v>-386.27</v>
      </c>
      <c r="BB160" s="23">
        <f t="shared" si="124"/>
        <v>-685.23145877466095</v>
      </c>
      <c r="BC160" s="23">
        <f t="shared" si="146"/>
        <v>-2406.7384526542419</v>
      </c>
      <c r="BE160" s="88">
        <f t="shared" si="147"/>
        <v>2.06E-2</v>
      </c>
      <c r="BF160" s="89">
        <f>BE160+Dane_kredytowe!F$12</f>
        <v>5.0599999999999999E-2</v>
      </c>
      <c r="BG160" s="23">
        <f>BG$5+SUM(BH$5:BH159)+SUM(R$5:R159)-SUM(S$5:S159)</f>
        <v>275520.1744751567</v>
      </c>
      <c r="BH160" s="22">
        <f t="shared" si="126"/>
        <v>-513.56769310924892</v>
      </c>
      <c r="BI160" s="22">
        <f t="shared" si="121"/>
        <v>-1161.7767357035775</v>
      </c>
      <c r="BJ160" s="22">
        <f>IF(U160&lt;0,PMT(BF160/12,Dane_kredytowe!F$13-SUM(AB$5:AB160)+1,BG160),0)</f>
        <v>-1675.3444288128264</v>
      </c>
      <c r="BL160" s="23">
        <f>BL$5+SUM(BN$5:BN159)+SUM(R$5:R159)-SUM(S$5:S159)</f>
        <v>234166.6666666666</v>
      </c>
      <c r="BM160" s="23">
        <f t="shared" si="129"/>
        <v>-987.40277777777749</v>
      </c>
      <c r="BN160" s="23">
        <f t="shared" si="148"/>
        <v>-833.33333333333314</v>
      </c>
      <c r="BO160" s="23">
        <f t="shared" si="130"/>
        <v>-1820.7361111111106</v>
      </c>
      <c r="BQ160" s="89">
        <f t="shared" si="149"/>
        <v>3.73E-2</v>
      </c>
      <c r="BR160" s="23">
        <f>BR$5+SUM(BS$5:BS159)+SUM(R$5:R159)-SUM(S$5:S159)+SUM(BV$5:BV159)</f>
        <v>313468.43264910002</v>
      </c>
      <c r="BS160" s="22">
        <f t="shared" si="163"/>
        <v>-700.02593777042546</v>
      </c>
      <c r="BT160" s="22">
        <f t="shared" si="164"/>
        <v>-974.36437815095258</v>
      </c>
      <c r="BU160" s="22">
        <f>IF(U160&lt;0,PMT(BQ160/12,Dane_kredytowe!F$13-SUM(AB$5:AB160)+1,BR160),0)</f>
        <v>-1674.390315921378</v>
      </c>
      <c r="BV160" s="22">
        <f t="shared" si="157"/>
        <v>210.27275061128807</v>
      </c>
      <c r="BX160" s="23">
        <f>BX$5+SUM(BZ$5:BZ159)+SUM(R$5:R159)-SUM(S$5:S159)+SUM(CB$5,CB159)</f>
        <v>234099.38260053153</v>
      </c>
      <c r="BY160" s="22">
        <f t="shared" si="150"/>
        <v>-727.65891424998551</v>
      </c>
      <c r="BZ160" s="22">
        <f t="shared" si="151"/>
        <v>-833.09388825811936</v>
      </c>
      <c r="CA160" s="22">
        <f t="shared" si="165"/>
        <v>-1560.7528025081049</v>
      </c>
      <c r="CB160" s="22">
        <f t="shared" si="166"/>
        <v>96.63523719801492</v>
      </c>
      <c r="CD160" s="22">
        <f>CD$5+SUM(CE$5:CE159)+SUM(R$5:R159)-SUM(S$5:S159)-SUM(CF$5:CF159)</f>
        <v>297486.13493158261</v>
      </c>
      <c r="CE160" s="22">
        <f t="shared" si="158"/>
        <v>727.65891424998551</v>
      </c>
      <c r="CF160" s="22">
        <f t="shared" si="152"/>
        <v>1464.11756531009</v>
      </c>
      <c r="CG160" s="22">
        <f t="shared" si="159"/>
        <v>736.45865106010444</v>
      </c>
      <c r="CI160" s="89">
        <f t="shared" si="153"/>
        <v>0.46989999999999998</v>
      </c>
      <c r="CJ160" s="22">
        <f t="shared" si="154"/>
        <v>-687.99</v>
      </c>
      <c r="CK160" s="15">
        <f t="shared" si="160"/>
        <v>0</v>
      </c>
      <c r="CM160" s="22">
        <f t="shared" si="161"/>
        <v>-108490.10385586215</v>
      </c>
      <c r="CN160" s="15">
        <f t="shared" si="167"/>
        <v>-186.24134495256337</v>
      </c>
    </row>
    <row r="161" spans="1:92">
      <c r="A161" s="25">
        <v>2015</v>
      </c>
      <c r="B161" s="80">
        <v>42005</v>
      </c>
      <c r="C161" s="81">
        <f t="shared" si="131"/>
        <v>3.9272999999999998</v>
      </c>
      <c r="D161" s="82">
        <f t="shared" si="162"/>
        <v>4.0451189999999997</v>
      </c>
      <c r="E161" s="73">
        <f t="shared" si="115"/>
        <v>-404.71296995664608</v>
      </c>
      <c r="F161" s="19">
        <f t="shared" si="127"/>
        <v>-1637.112124318058</v>
      </c>
      <c r="G161" s="19">
        <f t="shared" si="116"/>
        <v>-1276.2346155850762</v>
      </c>
      <c r="H161" s="19">
        <f t="shared" si="128"/>
        <v>360.87750873298182</v>
      </c>
      <c r="I161" s="62"/>
      <c r="J161" s="15" t="str">
        <f t="shared" si="168"/>
        <v xml:space="preserve"> </v>
      </c>
      <c r="K161" s="15">
        <f>IF(B161&lt;=Dane_kredytowe!F$9,0,K160+1)</f>
        <v>81</v>
      </c>
      <c r="L161" s="83">
        <f t="shared" si="132"/>
        <v>1E-4</v>
      </c>
      <c r="M161" s="84">
        <f>L161+Dane_kredytowe!F$12</f>
        <v>3.0099999999999998E-2</v>
      </c>
      <c r="N161" s="79">
        <f>MAX(Dane_kredytowe!F$17+SUM(AA$5:AA160)-SUM(X$5:X161)+SUM(W$5:W161),0)</f>
        <v>81341.044582429909</v>
      </c>
      <c r="O161" s="85">
        <f>MAX(Dane_kredytowe!F$8+SUM(V$5:V160)-SUM(S$5:S161)+SUM(R$5:R160),0)</f>
        <v>256503.4097500419</v>
      </c>
      <c r="P161" s="67">
        <f t="shared" si="122"/>
        <v>360</v>
      </c>
      <c r="Q161" s="127" t="str">
        <f>IF(AND(K161&gt;0,K161&lt;=Dane_kredytowe!F$16),"tak","nie")</f>
        <v>nie</v>
      </c>
      <c r="R161" s="93"/>
      <c r="S161" s="86">
        <f>IF(Dane_kredytowe!F$19=B161,O160+V160,_xlfn.XLOOKUP(B161,Dane_kredytowe!M$9:M$18,Dane_kredytowe!N$9:N$18,0))</f>
        <v>0</v>
      </c>
      <c r="T161" s="71">
        <f t="shared" si="133"/>
        <v>-643.39605278968838</v>
      </c>
      <c r="U161" s="72">
        <f>IF(Q161="tak",T161,IF(P161-SUM(AB$5:AB161)+1&gt;0,IF(Dane_kredytowe!F$9&lt;B161,IF(SUM(AB$5:AB161)-Dane_kredytowe!F$16+1&gt;0,PMT(M161/12,P161+1-SUM(AB$5:AB161),O161),T161),0),0))</f>
        <v>-1276.2346155850762</v>
      </c>
      <c r="V161" s="72">
        <f t="shared" si="155"/>
        <v>-632.83856279538782</v>
      </c>
      <c r="W161" s="19" t="str">
        <f t="shared" si="156"/>
        <v xml:space="preserve"> </v>
      </c>
      <c r="X161" s="19">
        <f t="shared" si="169"/>
        <v>0</v>
      </c>
      <c r="Y161" s="73">
        <f t="shared" si="134"/>
        <v>-204.03045349426168</v>
      </c>
      <c r="Z161" s="19">
        <f>IF(P161-SUM(AB$5:AB161)+1&gt;0,IF(Dane_kredytowe!F$9&lt;B161,IF(SUM(AB$5:AB161)-Dane_kredytowe!F$16+1&gt;0,PMT(M161/12,P161+1-SUM(AB$5:AB161),N161),Y161),0),0)</f>
        <v>-404.71296995664608</v>
      </c>
      <c r="AA161" s="19">
        <f t="shared" si="125"/>
        <v>-200.6825164623844</v>
      </c>
      <c r="AB161" s="20">
        <f>IF(AND(Dane_kredytowe!F$9&lt;B161,SUM(AB$5:AB160)&lt;P160),1," ")</f>
        <v>1</v>
      </c>
      <c r="AD161" s="75">
        <f>IF(OR(B161&lt;Dane_kredytowe!F$15,Dane_kredytowe!F$15=""),-F161+S161,0)</f>
        <v>0</v>
      </c>
      <c r="AE161" s="75">
        <f t="shared" si="135"/>
        <v>404.71296995664608</v>
      </c>
      <c r="AG161" s="22">
        <f>Dane_kredytowe!F$17-SUM(AI$5:AI160)+SUM(W$42:W161)-SUM(X$42:X161)</f>
        <v>73993.660000000033</v>
      </c>
      <c r="AH161" s="22">
        <f t="shared" si="136"/>
        <v>185.6</v>
      </c>
      <c r="AI161" s="22">
        <f t="shared" si="137"/>
        <v>264.26</v>
      </c>
      <c r="AJ161" s="22">
        <f t="shared" si="123"/>
        <v>449.86</v>
      </c>
      <c r="AK161" s="22">
        <f t="shared" si="138"/>
        <v>1819.74</v>
      </c>
      <c r="AL161" s="22">
        <f>Dane_kredytowe!F$8-SUM(AN$5:AN160)+SUM(R$42:R160)-SUM(S$42:S161)</f>
        <v>233333.59999999992</v>
      </c>
      <c r="AM161" s="22">
        <f t="shared" si="139"/>
        <v>585.28</v>
      </c>
      <c r="AN161" s="22">
        <f t="shared" si="140"/>
        <v>833.33</v>
      </c>
      <c r="AO161" s="22">
        <f t="shared" si="117"/>
        <v>1418.6100000000001</v>
      </c>
      <c r="AP161" s="22">
        <f t="shared" si="118"/>
        <v>401.12999999999988</v>
      </c>
      <c r="AR161" s="87">
        <f t="shared" si="141"/>
        <v>42005</v>
      </c>
      <c r="AS161" s="23">
        <f>AS$5+SUM(AV$5:AV160)-SUM(X$5:X161)+SUM(W$5:W161)</f>
        <v>118894.69256977932</v>
      </c>
      <c r="AT161" s="22">
        <f t="shared" si="142"/>
        <v>-298.22752052919645</v>
      </c>
      <c r="AU161" s="22">
        <f>IF(AB161=1,IF(Q161="tak",AT161,PMT(M161/12,P161+1-SUM(AB$5:AB161),AS161)),0)</f>
        <v>-591.56142374389367</v>
      </c>
      <c r="AV161" s="22">
        <f t="shared" si="119"/>
        <v>-293.33390321469722</v>
      </c>
      <c r="AW161" s="22">
        <f t="shared" si="143"/>
        <v>-2323.2391794693935</v>
      </c>
      <c r="AY161" s="23">
        <f>AY$5+SUM(BA$5:BA160)+SUM(W$5:W160)-SUM(X$5:X160)</f>
        <v>108154.67143784181</v>
      </c>
      <c r="AZ161" s="23">
        <f t="shared" si="144"/>
        <v>-298.22752052919645</v>
      </c>
      <c r="BA161" s="23">
        <f t="shared" si="145"/>
        <v>-386.27</v>
      </c>
      <c r="BB161" s="23">
        <f t="shared" si="124"/>
        <v>-684.49752052919644</v>
      </c>
      <c r="BC161" s="23">
        <f t="shared" si="146"/>
        <v>-2688.227112374313</v>
      </c>
      <c r="BE161" s="88">
        <f t="shared" si="147"/>
        <v>2.0299999999999999E-2</v>
      </c>
      <c r="BF161" s="89">
        <f>BE161+Dane_kredytowe!F$12</f>
        <v>5.0299999999999997E-2</v>
      </c>
      <c r="BG161" s="23">
        <f>BG$5+SUM(BH$5:BH160)+SUM(R$5:R160)-SUM(S$5:S160)</f>
        <v>275006.60678204749</v>
      </c>
      <c r="BH161" s="22">
        <f t="shared" si="126"/>
        <v>-517.87283334417521</v>
      </c>
      <c r="BI161" s="22">
        <f t="shared" si="121"/>
        <v>-1152.7360267614156</v>
      </c>
      <c r="BJ161" s="22">
        <f>IF(U161&lt;0,PMT(BF161/12,Dane_kredytowe!F$13-SUM(AB$5:AB161)+1,BG161),0)</f>
        <v>-1670.6088601055908</v>
      </c>
      <c r="BL161" s="23">
        <f>BL$5+SUM(BN$5:BN160)+SUM(R$5:R160)-SUM(S$5:S160)</f>
        <v>233333.33333333326</v>
      </c>
      <c r="BM161" s="23">
        <f t="shared" si="129"/>
        <v>-978.0555555555552</v>
      </c>
      <c r="BN161" s="23">
        <f t="shared" si="148"/>
        <v>-833.33333333333303</v>
      </c>
      <c r="BO161" s="23">
        <f t="shared" si="130"/>
        <v>-1811.3888888888882</v>
      </c>
      <c r="BQ161" s="89">
        <f t="shared" si="149"/>
        <v>3.6999999999999998E-2</v>
      </c>
      <c r="BR161" s="23">
        <f>BR$5+SUM(BS$5:BS160)+SUM(R$5:R160)-SUM(S$5:S160)+SUM(BV$5:BV160)</f>
        <v>312978.67946194089</v>
      </c>
      <c r="BS161" s="22">
        <f t="shared" si="163"/>
        <v>-705.47182912889195</v>
      </c>
      <c r="BT161" s="22">
        <f t="shared" si="164"/>
        <v>-965.01759500765104</v>
      </c>
      <c r="BU161" s="22">
        <f>IF(U161&lt;0,PMT(BQ161/12,Dane_kredytowe!F$13-SUM(AB$5:AB161)+1,BR161),0)</f>
        <v>-1670.489424136543</v>
      </c>
      <c r="BV161" s="22">
        <f t="shared" si="157"/>
        <v>33.377299818484971</v>
      </c>
      <c r="BX161" s="23">
        <f>BX$5+SUM(BZ$5:BZ160)+SUM(R$5:R160)-SUM(S$5:S160)+SUM(CB$5,CB160)</f>
        <v>233264.77602840323</v>
      </c>
      <c r="BY161" s="22">
        <f t="shared" si="150"/>
        <v>-719.23305942090985</v>
      </c>
      <c r="BZ161" s="22">
        <f t="shared" si="151"/>
        <v>-833.08848581572579</v>
      </c>
      <c r="CA161" s="22">
        <f t="shared" si="165"/>
        <v>-1552.3215452366358</v>
      </c>
      <c r="CB161" s="22">
        <f t="shared" si="166"/>
        <v>-84.790579081422266</v>
      </c>
      <c r="CD161" s="22">
        <f>CD$5+SUM(CE$5:CE160)+SUM(R$5:R160)-SUM(S$5:S160)-SUM(CF$5:CF160)</f>
        <v>296749.67628052249</v>
      </c>
      <c r="CE161" s="22">
        <f t="shared" si="158"/>
        <v>719.23305942090985</v>
      </c>
      <c r="CF161" s="22">
        <f t="shared" si="152"/>
        <v>1637.112124318058</v>
      </c>
      <c r="CG161" s="22">
        <f t="shared" si="159"/>
        <v>917.87906489714817</v>
      </c>
      <c r="CI161" s="89">
        <f t="shared" si="153"/>
        <v>0.47289999999999999</v>
      </c>
      <c r="CJ161" s="22">
        <f t="shared" si="154"/>
        <v>-774.19</v>
      </c>
      <c r="CK161" s="15">
        <f t="shared" si="160"/>
        <v>0</v>
      </c>
      <c r="CM161" s="22">
        <f t="shared" si="161"/>
        <v>-110127.2159801802</v>
      </c>
      <c r="CN161" s="15">
        <f t="shared" si="167"/>
        <v>-186.29854036647149</v>
      </c>
    </row>
    <row r="162" spans="1:92">
      <c r="A162" s="25"/>
      <c r="B162" s="80">
        <v>42036</v>
      </c>
      <c r="C162" s="81">
        <f t="shared" si="131"/>
        <v>3.9321999999999999</v>
      </c>
      <c r="D162" s="82">
        <f t="shared" si="162"/>
        <v>4.0501659999999999</v>
      </c>
      <c r="E162" s="73">
        <f t="shared" si="115"/>
        <v>-369.40481893201661</v>
      </c>
      <c r="F162" s="19">
        <f t="shared" si="127"/>
        <v>-1496.15083787461</v>
      </c>
      <c r="G162" s="19">
        <f t="shared" si="116"/>
        <v>-1164.8927810133675</v>
      </c>
      <c r="H162" s="19">
        <f t="shared" si="128"/>
        <v>331.25805686124249</v>
      </c>
      <c r="I162" s="62"/>
      <c r="J162" s="15" t="str">
        <f t="shared" si="168"/>
        <v xml:space="preserve"> </v>
      </c>
      <c r="K162" s="15">
        <f>IF(B162&lt;=Dane_kredytowe!F$9,0,K161+1)</f>
        <v>82</v>
      </c>
      <c r="L162" s="83">
        <f t="shared" si="132"/>
        <v>-8.6E-3</v>
      </c>
      <c r="M162" s="84">
        <f>L162+Dane_kredytowe!F$12</f>
        <v>2.1399999999999999E-2</v>
      </c>
      <c r="N162" s="79">
        <f>MAX(Dane_kredytowe!F$17+SUM(AA$5:AA161)-SUM(X$5:X162)+SUM(W$5:W162),0)</f>
        <v>81140.362065967522</v>
      </c>
      <c r="O162" s="85">
        <f>MAX(Dane_kredytowe!F$8+SUM(V$5:V161)-SUM(S$5:S162)+SUM(R$5:R161),0)</f>
        <v>255870.5711872465</v>
      </c>
      <c r="P162" s="67">
        <f t="shared" si="122"/>
        <v>360</v>
      </c>
      <c r="Q162" s="127" t="str">
        <f>IF(AND(K162&gt;0,K162&lt;=Dane_kredytowe!F$16),"tak","nie")</f>
        <v>nie</v>
      </c>
      <c r="R162" s="69"/>
      <c r="S162" s="86">
        <f>IF(Dane_kredytowe!F$19=B162,O161+V161,_xlfn.XLOOKUP(B162,Dane_kredytowe!M$9:M$18,Dane_kredytowe!N$9:N$18,0))</f>
        <v>0</v>
      </c>
      <c r="T162" s="71">
        <f t="shared" si="133"/>
        <v>-456.30251861725623</v>
      </c>
      <c r="U162" s="72">
        <f>IF(Q162="tak",T162,IF(P162-SUM(AB$5:AB162)+1&gt;0,IF(Dane_kredytowe!F$9&lt;B162,IF(SUM(AB$5:AB162)-Dane_kredytowe!F$16+1&gt;0,PMT(M162/12,P162+1-SUM(AB$5:AB162),O162),T162),0),0))</f>
        <v>-1164.8927810133675</v>
      </c>
      <c r="V162" s="72">
        <f t="shared" si="155"/>
        <v>-708.59026239611126</v>
      </c>
      <c r="W162" s="19" t="str">
        <f t="shared" si="156"/>
        <v xml:space="preserve"> </v>
      </c>
      <c r="X162" s="19">
        <f t="shared" si="169"/>
        <v>0</v>
      </c>
      <c r="Y162" s="73">
        <f t="shared" si="134"/>
        <v>-144.70031235097539</v>
      </c>
      <c r="Z162" s="19">
        <f>IF(P162-SUM(AB$5:AB162)+1&gt;0,IF(Dane_kredytowe!F$9&lt;B162,IF(SUM(AB$5:AB162)-Dane_kredytowe!F$16+1&gt;0,PMT(M162/12,P162+1-SUM(AB$5:AB162),N162),Y162),0),0)</f>
        <v>-369.40481893201661</v>
      </c>
      <c r="AA162" s="19">
        <f t="shared" si="125"/>
        <v>-224.70450658104122</v>
      </c>
      <c r="AB162" s="20">
        <f>IF(AND(Dane_kredytowe!F$9&lt;B162,SUM(AB$5:AB161)&lt;P161),1," ")</f>
        <v>1</v>
      </c>
      <c r="AD162" s="75">
        <f>IF(OR(B162&lt;Dane_kredytowe!F$15,Dane_kredytowe!F$15=""),-F162+S162,0)</f>
        <v>0</v>
      </c>
      <c r="AE162" s="75">
        <f t="shared" si="135"/>
        <v>369.40481893201661</v>
      </c>
      <c r="AG162" s="22">
        <f>Dane_kredytowe!F$17-SUM(AI$5:AI161)+SUM(W$42:W162)-SUM(X$42:X162)</f>
        <v>73729.400000000023</v>
      </c>
      <c r="AH162" s="22">
        <f t="shared" si="136"/>
        <v>131.47999999999999</v>
      </c>
      <c r="AI162" s="22">
        <f t="shared" si="137"/>
        <v>264.26</v>
      </c>
      <c r="AJ162" s="22">
        <f t="shared" si="123"/>
        <v>395.74</v>
      </c>
      <c r="AK162" s="22">
        <f t="shared" si="138"/>
        <v>1602.81</v>
      </c>
      <c r="AL162" s="22">
        <f>Dane_kredytowe!F$8-SUM(AN$5:AN161)+SUM(R$42:R161)-SUM(S$42:S162)</f>
        <v>232500.2699999999</v>
      </c>
      <c r="AM162" s="22">
        <f t="shared" si="139"/>
        <v>414.63</v>
      </c>
      <c r="AN162" s="22">
        <f t="shared" si="140"/>
        <v>833.33</v>
      </c>
      <c r="AO162" s="22">
        <f t="shared" si="117"/>
        <v>1247.96</v>
      </c>
      <c r="AP162" s="22">
        <f t="shared" si="118"/>
        <v>354.84999999999991</v>
      </c>
      <c r="AR162" s="87">
        <f t="shared" si="141"/>
        <v>42036</v>
      </c>
      <c r="AS162" s="23">
        <f>AS$5+SUM(AV$5:AV161)-SUM(X$5:X162)+SUM(W$5:W162)</f>
        <v>118601.35866656461</v>
      </c>
      <c r="AT162" s="22">
        <f t="shared" si="142"/>
        <v>-211.50575628870686</v>
      </c>
      <c r="AU162" s="22">
        <f>IF(AB162=1,IF(Q162="tak",AT162,PMT(M162/12,P162+1-SUM(AB$5:AB162),AS162)),0)</f>
        <v>-539.95215584192431</v>
      </c>
      <c r="AV162" s="22">
        <f t="shared" si="119"/>
        <v>-328.44639955321747</v>
      </c>
      <c r="AW162" s="22">
        <f t="shared" si="143"/>
        <v>-2123.1998672016148</v>
      </c>
      <c r="AY162" s="23">
        <f>AY$5+SUM(BA$5:BA161)+SUM(W$5:W161)-SUM(X$5:X161)</f>
        <v>107768.40143784182</v>
      </c>
      <c r="AZ162" s="23">
        <f t="shared" si="144"/>
        <v>-211.50575628870686</v>
      </c>
      <c r="BA162" s="23">
        <f t="shared" si="145"/>
        <v>-386.27</v>
      </c>
      <c r="BB162" s="23">
        <f t="shared" si="124"/>
        <v>-597.77575628870682</v>
      </c>
      <c r="BC162" s="23">
        <f t="shared" si="146"/>
        <v>-2350.5738288784528</v>
      </c>
      <c r="BE162" s="88">
        <f t="shared" si="147"/>
        <v>1.9199999999999998E-2</v>
      </c>
      <c r="BF162" s="89">
        <f>BE162+Dane_kredytowe!F$12</f>
        <v>4.9199999999999994E-2</v>
      </c>
      <c r="BG162" s="23">
        <f>BG$5+SUM(BH$5:BH161)+SUM(R$5:R161)-SUM(S$5:S161)</f>
        <v>274488.73394870327</v>
      </c>
      <c r="BH162" s="22">
        <f t="shared" si="126"/>
        <v>-527.94855603025803</v>
      </c>
      <c r="BI162" s="22">
        <f t="shared" si="121"/>
        <v>-1125.4038091896832</v>
      </c>
      <c r="BJ162" s="22">
        <f>IF(U162&lt;0,PMT(BF162/12,Dane_kredytowe!F$13-SUM(AB$5:AB162)+1,BG162),0)</f>
        <v>-1653.3523652199412</v>
      </c>
      <c r="BL162" s="23">
        <f>BL$5+SUM(BN$5:BN161)+SUM(R$5:R161)-SUM(S$5:S161)</f>
        <v>232499.99999999994</v>
      </c>
      <c r="BM162" s="23">
        <f t="shared" si="129"/>
        <v>-953.24999999999966</v>
      </c>
      <c r="BN162" s="23">
        <f t="shared" si="148"/>
        <v>-833.33333333333314</v>
      </c>
      <c r="BO162" s="23">
        <f t="shared" si="130"/>
        <v>-1786.5833333333328</v>
      </c>
      <c r="BQ162" s="89">
        <f t="shared" si="149"/>
        <v>3.5900000000000001E-2</v>
      </c>
      <c r="BR162" s="23">
        <f>BR$5+SUM(BS$5:BS161)+SUM(R$5:R161)-SUM(S$5:S161)+SUM(BV$5:BV161)</f>
        <v>312306.58493263047</v>
      </c>
      <c r="BS162" s="22">
        <f t="shared" si="163"/>
        <v>-718.04498520205163</v>
      </c>
      <c r="BT162" s="22">
        <f t="shared" si="164"/>
        <v>-934.3171999234529</v>
      </c>
      <c r="BU162" s="22">
        <f>IF(U162&lt;0,PMT(BQ162/12,Dane_kredytowe!F$13-SUM(AB$5:AB162)+1,BR162),0)</f>
        <v>-1652.3621851255045</v>
      </c>
      <c r="BV162" s="22">
        <f t="shared" si="157"/>
        <v>156.21134725089451</v>
      </c>
      <c r="BX162" s="23">
        <f>BX$5+SUM(BZ$5:BZ161)+SUM(R$5:R161)-SUM(S$5:S161)+SUM(CB$5,CB161)</f>
        <v>232250.26172630809</v>
      </c>
      <c r="BY162" s="22">
        <f t="shared" si="150"/>
        <v>-694.81536633120504</v>
      </c>
      <c r="BZ162" s="22">
        <f t="shared" si="151"/>
        <v>-832.43821407278881</v>
      </c>
      <c r="CA162" s="22">
        <f t="shared" si="165"/>
        <v>-1527.253580403994</v>
      </c>
      <c r="CB162" s="22">
        <f t="shared" si="166"/>
        <v>31.102742529383931</v>
      </c>
      <c r="CD162" s="22">
        <f>CD$5+SUM(CE$5:CE161)+SUM(R$5:R161)-SUM(S$5:S161)-SUM(CF$5:CF161)</f>
        <v>295831.79721562535</v>
      </c>
      <c r="CE162" s="22">
        <f t="shared" si="158"/>
        <v>694.81536633120504</v>
      </c>
      <c r="CF162" s="22">
        <f t="shared" si="152"/>
        <v>1496.15083787461</v>
      </c>
      <c r="CG162" s="22">
        <f t="shared" si="159"/>
        <v>801.33547154340499</v>
      </c>
      <c r="CI162" s="89">
        <f t="shared" si="153"/>
        <v>0.4743</v>
      </c>
      <c r="CJ162" s="22">
        <f t="shared" si="154"/>
        <v>-709.62</v>
      </c>
      <c r="CK162" s="15">
        <f t="shared" si="160"/>
        <v>0</v>
      </c>
      <c r="CM162" s="22">
        <f t="shared" si="161"/>
        <v>-111623.36681805481</v>
      </c>
      <c r="CN162" s="15">
        <f t="shared" si="167"/>
        <v>-178.59738690888767</v>
      </c>
    </row>
    <row r="163" spans="1:92">
      <c r="A163" s="25"/>
      <c r="B163" s="80">
        <v>42064</v>
      </c>
      <c r="C163" s="81">
        <f t="shared" si="131"/>
        <v>3.8912</v>
      </c>
      <c r="D163" s="82">
        <f t="shared" si="162"/>
        <v>4.0079359999999999</v>
      </c>
      <c r="E163" s="73">
        <f t="shared" ref="E163:E176" si="170">Z163</f>
        <v>-369.40481893201655</v>
      </c>
      <c r="F163" s="19">
        <f t="shared" ref="F163:F176" si="171">E163*D163</f>
        <v>-1480.5508723711107</v>
      </c>
      <c r="G163" s="19">
        <f t="shared" si="116"/>
        <v>-1164.8927810133673</v>
      </c>
      <c r="H163" s="19">
        <f t="shared" ref="H163:H176" si="172">G163-F163</f>
        <v>315.65809135774339</v>
      </c>
      <c r="I163" s="62"/>
      <c r="J163" s="15" t="str">
        <f t="shared" si="168"/>
        <v xml:space="preserve"> </v>
      </c>
      <c r="K163" s="15">
        <f>IF(B163&lt;=Dane_kredytowe!F$9,0,K162+1)</f>
        <v>83</v>
      </c>
      <c r="L163" s="83">
        <f t="shared" si="132"/>
        <v>-8.6E-3</v>
      </c>
      <c r="M163" s="84">
        <f>L163+Dane_kredytowe!F$12</f>
        <v>2.1399999999999999E-2</v>
      </c>
      <c r="N163" s="79">
        <f>MAX(Dane_kredytowe!F$17+SUM(AA$5:AA162)-SUM(X$5:X163)+SUM(W$5:W163),0)</f>
        <v>80915.657559386484</v>
      </c>
      <c r="O163" s="85">
        <f>MAX(Dane_kredytowe!F$8+SUM(V$5:V162)-SUM(S$5:S163)+SUM(R$5:R162),0)</f>
        <v>255161.98092485039</v>
      </c>
      <c r="P163" s="67">
        <f t="shared" si="122"/>
        <v>360</v>
      </c>
      <c r="Q163" s="127" t="str">
        <f>IF(AND(K163&gt;0,K163&lt;=Dane_kredytowe!F$16),"tak","nie")</f>
        <v>nie</v>
      </c>
      <c r="R163" s="69"/>
      <c r="S163" s="86">
        <f>IF(Dane_kredytowe!F$19=B163,O162+V162,_xlfn.XLOOKUP(B163,Dane_kredytowe!M$9:M$18,Dane_kredytowe!N$9:N$18,0))</f>
        <v>0</v>
      </c>
      <c r="T163" s="71">
        <f t="shared" si="133"/>
        <v>-455.03886598264984</v>
      </c>
      <c r="U163" s="72">
        <f>IF(Q163="tak",T163,IF(P163-SUM(AB$5:AB163)+1&gt;0,IF(Dane_kredytowe!F$9&lt;B163,IF(SUM(AB$5:AB163)-Dane_kredytowe!F$16+1&gt;0,PMT(M163/12,P163+1-SUM(AB$5:AB163),O163),T163),0),0))</f>
        <v>-1164.8927810133673</v>
      </c>
      <c r="V163" s="72">
        <f t="shared" si="155"/>
        <v>-709.85391503071742</v>
      </c>
      <c r="W163" s="19" t="str">
        <f t="shared" si="156"/>
        <v xml:space="preserve"> </v>
      </c>
      <c r="X163" s="19">
        <f t="shared" si="169"/>
        <v>0</v>
      </c>
      <c r="Y163" s="73">
        <f t="shared" si="134"/>
        <v>-144.29958931423923</v>
      </c>
      <c r="Z163" s="19">
        <f>IF(P163-SUM(AB$5:AB163)+1&gt;0,IF(Dane_kredytowe!F$9&lt;B163,IF(SUM(AB$5:AB163)-Dane_kredytowe!F$16+1&gt;0,PMT(M163/12,P163+1-SUM(AB$5:AB163),N163),Y163),0),0)</f>
        <v>-369.40481893201655</v>
      </c>
      <c r="AA163" s="19">
        <f t="shared" ref="AA163:AA176" si="173">Z163-Y163</f>
        <v>-225.10522961777733</v>
      </c>
      <c r="AB163" s="20">
        <f>IF(AND(Dane_kredytowe!F$9&lt;B163,SUM(AB$5:AB162)&lt;P162),1," ")</f>
        <v>1</v>
      </c>
      <c r="AD163" s="75">
        <f>IF(OR(B163&lt;Dane_kredytowe!F$15,Dane_kredytowe!F$15=""),-F163+S163,0)</f>
        <v>0</v>
      </c>
      <c r="AE163" s="75">
        <f t="shared" si="135"/>
        <v>369.40481893201655</v>
      </c>
      <c r="AG163" s="22">
        <f>Dane_kredytowe!F$17-SUM(AI$5:AI162)+SUM(W$42:W163)-SUM(X$42:X163)</f>
        <v>73465.140000000029</v>
      </c>
      <c r="AH163" s="22">
        <f t="shared" si="136"/>
        <v>131.01</v>
      </c>
      <c r="AI163" s="22">
        <f t="shared" si="137"/>
        <v>264.26</v>
      </c>
      <c r="AJ163" s="22">
        <f t="shared" si="123"/>
        <v>395.27</v>
      </c>
      <c r="AK163" s="22">
        <f t="shared" si="138"/>
        <v>1584.22</v>
      </c>
      <c r="AL163" s="22">
        <f>Dane_kredytowe!F$8-SUM(AN$5:AN162)+SUM(R$42:R162)-SUM(S$42:S163)</f>
        <v>231666.93999999989</v>
      </c>
      <c r="AM163" s="22">
        <f t="shared" si="139"/>
        <v>413.14</v>
      </c>
      <c r="AN163" s="22">
        <f t="shared" si="140"/>
        <v>833.33</v>
      </c>
      <c r="AO163" s="22">
        <f t="shared" si="117"/>
        <v>1246.47</v>
      </c>
      <c r="AP163" s="22">
        <f t="shared" si="118"/>
        <v>337.75</v>
      </c>
      <c r="AR163" s="87">
        <f t="shared" si="141"/>
        <v>42064</v>
      </c>
      <c r="AS163" s="23">
        <f>AS$5+SUM(AV$5:AV162)-SUM(X$5:X163)+SUM(W$5:W163)</f>
        <v>118272.9122670114</v>
      </c>
      <c r="AT163" s="22">
        <f t="shared" si="142"/>
        <v>-210.92002687617034</v>
      </c>
      <c r="AU163" s="22">
        <f>IF(AB163=1,IF(Q163="tak",AT163,PMT(M163/12,P163+1-SUM(AB$5:AB163),AS163)),0)</f>
        <v>-539.95215584192431</v>
      </c>
      <c r="AV163" s="22">
        <f t="shared" si="119"/>
        <v>-329.03212896575394</v>
      </c>
      <c r="AW163" s="22">
        <f t="shared" si="143"/>
        <v>-2101.0618288120959</v>
      </c>
      <c r="AY163" s="23">
        <f>AY$5+SUM(BA$5:BA162)+SUM(W$5:W162)-SUM(X$5:X162)</f>
        <v>107382.13143784182</v>
      </c>
      <c r="AZ163" s="23">
        <f t="shared" si="144"/>
        <v>-210.92002687617034</v>
      </c>
      <c r="BA163" s="23">
        <f t="shared" si="145"/>
        <v>-386.27</v>
      </c>
      <c r="BB163" s="23">
        <f t="shared" si="124"/>
        <v>-597.19002687617035</v>
      </c>
      <c r="BC163" s="23">
        <f t="shared" si="146"/>
        <v>-2323.7858325805541</v>
      </c>
      <c r="BE163" s="88">
        <f t="shared" si="147"/>
        <v>1.67E-2</v>
      </c>
      <c r="BF163" s="89">
        <f>BE163+Dane_kredytowe!F$12</f>
        <v>4.6699999999999998E-2</v>
      </c>
      <c r="BG163" s="23">
        <f>BG$5+SUM(BH$5:BH162)+SUM(R$5:R162)-SUM(S$5:S162)</f>
        <v>273960.78539267305</v>
      </c>
      <c r="BH163" s="22">
        <f t="shared" si="126"/>
        <v>-548.42632947834136</v>
      </c>
      <c r="BI163" s="22">
        <f t="shared" si="121"/>
        <v>-1066.1640564864858</v>
      </c>
      <c r="BJ163" s="22">
        <f>IF(U163&lt;0,PMT(BF163/12,Dane_kredytowe!F$13-SUM(AB$5:AB163)+1,BG163),0)</f>
        <v>-1614.5903859648272</v>
      </c>
      <c r="BL163" s="23">
        <f>BL$5+SUM(BN$5:BN162)+SUM(R$5:R162)-SUM(S$5:S162)</f>
        <v>231666.66666666663</v>
      </c>
      <c r="BM163" s="23">
        <f t="shared" si="129"/>
        <v>-901.56944444444423</v>
      </c>
      <c r="BN163" s="23">
        <f t="shared" si="148"/>
        <v>-833.33333333333314</v>
      </c>
      <c r="BO163" s="23">
        <f t="shared" si="130"/>
        <v>-1734.9027777777774</v>
      </c>
      <c r="BQ163" s="89">
        <f t="shared" si="149"/>
        <v>3.3399999999999999E-2</v>
      </c>
      <c r="BR163" s="23">
        <f>BR$5+SUM(BS$5:BS162)+SUM(R$5:R162)-SUM(S$5:S162)+SUM(BV$5:BV162)</f>
        <v>311744.7512946793</v>
      </c>
      <c r="BS163" s="22">
        <f t="shared" si="163"/>
        <v>-744.42229262463275</v>
      </c>
      <c r="BT163" s="22">
        <f t="shared" si="164"/>
        <v>-867.68955777019073</v>
      </c>
      <c r="BU163" s="22">
        <f>IF(U163&lt;0,PMT(BQ163/12,Dane_kredytowe!F$13-SUM(AB$5:AB163)+1,BR163),0)</f>
        <v>-1612.1118503948235</v>
      </c>
      <c r="BV163" s="22">
        <f t="shared" si="157"/>
        <v>131.56097802371278</v>
      </c>
      <c r="BX163" s="23">
        <f>BX$5+SUM(BZ$5:BZ162)+SUM(R$5:R162)-SUM(S$5:S162)+SUM(CB$5,CB162)</f>
        <v>231533.71683384612</v>
      </c>
      <c r="BY163" s="22">
        <f t="shared" si="150"/>
        <v>-644.43551185420495</v>
      </c>
      <c r="BZ163" s="22">
        <f t="shared" si="151"/>
        <v>-832.85509652462633</v>
      </c>
      <c r="CA163" s="22">
        <f t="shared" si="165"/>
        <v>-1477.2906083788312</v>
      </c>
      <c r="CB163" s="22">
        <f t="shared" si="166"/>
        <v>-3.2602639922795333</v>
      </c>
      <c r="CD163" s="22">
        <f>CD$5+SUM(CE$5:CE162)+SUM(R$5:R162)-SUM(S$5:S162)-SUM(CF$5:CF162)</f>
        <v>295030.46174408193</v>
      </c>
      <c r="CE163" s="22">
        <f t="shared" si="158"/>
        <v>644.43551185420495</v>
      </c>
      <c r="CF163" s="22">
        <f t="shared" si="152"/>
        <v>1480.5508723711107</v>
      </c>
      <c r="CG163" s="22">
        <f t="shared" si="159"/>
        <v>836.11536051690575</v>
      </c>
      <c r="CI163" s="89">
        <f t="shared" si="153"/>
        <v>0.47139999999999999</v>
      </c>
      <c r="CJ163" s="22">
        <f t="shared" si="154"/>
        <v>-697.93</v>
      </c>
      <c r="CK163" s="15">
        <f t="shared" si="160"/>
        <v>0</v>
      </c>
      <c r="CM163" s="22">
        <f t="shared" si="161"/>
        <v>-113103.91769042592</v>
      </c>
      <c r="CN163" s="15">
        <f t="shared" si="167"/>
        <v>-157.40295211917606</v>
      </c>
    </row>
    <row r="164" spans="1:92">
      <c r="A164" s="25"/>
      <c r="B164" s="80">
        <v>42095</v>
      </c>
      <c r="C164" s="81">
        <f t="shared" si="131"/>
        <v>3.8812000000000002</v>
      </c>
      <c r="D164" s="82">
        <f t="shared" si="162"/>
        <v>3.9976360000000004</v>
      </c>
      <c r="E164" s="73">
        <f t="shared" si="170"/>
        <v>-369.40481893201655</v>
      </c>
      <c r="F164" s="19">
        <f t="shared" si="171"/>
        <v>-1476.746002736111</v>
      </c>
      <c r="G164" s="19">
        <f t="shared" si="116"/>
        <v>-1164.8927810133673</v>
      </c>
      <c r="H164" s="19">
        <f t="shared" si="172"/>
        <v>311.85322172274368</v>
      </c>
      <c r="I164" s="62"/>
      <c r="J164" s="15" t="str">
        <f t="shared" si="168"/>
        <v xml:space="preserve"> </v>
      </c>
      <c r="K164" s="15">
        <f>IF(B164&lt;=Dane_kredytowe!F$9,0,K163+1)</f>
        <v>84</v>
      </c>
      <c r="L164" s="83">
        <f t="shared" si="132"/>
        <v>-8.6E-3</v>
      </c>
      <c r="M164" s="84">
        <f>L164+Dane_kredytowe!F$12</f>
        <v>2.1399999999999999E-2</v>
      </c>
      <c r="N164" s="79">
        <f>MAX(Dane_kredytowe!F$17+SUM(AA$5:AA163)-SUM(X$5:X164)+SUM(W$5:W164),0)</f>
        <v>80690.552329768703</v>
      </c>
      <c r="O164" s="85">
        <f>MAX(Dane_kredytowe!F$8+SUM(V$5:V163)-SUM(S$5:S164)+SUM(R$5:R163),0)</f>
        <v>254452.12700981967</v>
      </c>
      <c r="P164" s="67">
        <f t="shared" si="122"/>
        <v>360</v>
      </c>
      <c r="Q164" s="127" t="str">
        <f>IF(AND(K164&gt;0,K164&lt;=Dane_kredytowe!F$16),"tak","nie")</f>
        <v>nie</v>
      </c>
      <c r="R164" s="69"/>
      <c r="S164" s="86">
        <f>IF(Dane_kredytowe!F$19=B164,O163+V163,_xlfn.XLOOKUP(B164,Dane_kredytowe!M$9:M$18,Dane_kredytowe!N$9:N$18,0))</f>
        <v>0</v>
      </c>
      <c r="T164" s="71">
        <f t="shared" si="133"/>
        <v>-453.77295983417838</v>
      </c>
      <c r="U164" s="72">
        <f>IF(Q164="tak",T164,IF(P164-SUM(AB$5:AB164)+1&gt;0,IF(Dane_kredytowe!F$9&lt;B164,IF(SUM(AB$5:AB164)-Dane_kredytowe!F$16+1&gt;0,PMT(M164/12,P164+1-SUM(AB$5:AB164),O164),T164),0),0))</f>
        <v>-1164.8927810133673</v>
      </c>
      <c r="V164" s="72">
        <f t="shared" si="155"/>
        <v>-711.11982117918888</v>
      </c>
      <c r="W164" s="19" t="str">
        <f t="shared" si="156"/>
        <v xml:space="preserve"> </v>
      </c>
      <c r="X164" s="19">
        <f t="shared" si="169"/>
        <v>0</v>
      </c>
      <c r="Y164" s="73">
        <f t="shared" si="134"/>
        <v>-143.89815165475417</v>
      </c>
      <c r="Z164" s="19">
        <f>IF(P164-SUM(AB$5:AB164)+1&gt;0,IF(Dane_kredytowe!F$9&lt;B164,IF(SUM(AB$5:AB164)-Dane_kredytowe!F$16+1&gt;0,PMT(M164/12,P164+1-SUM(AB$5:AB164),N164),Y164),0),0)</f>
        <v>-369.40481893201655</v>
      </c>
      <c r="AA164" s="19">
        <f t="shared" si="173"/>
        <v>-225.50666727726238</v>
      </c>
      <c r="AB164" s="20">
        <f>IF(AND(Dane_kredytowe!F$9&lt;B164,SUM(AB$5:AB163)&lt;P163),1," ")</f>
        <v>1</v>
      </c>
      <c r="AD164" s="75">
        <f>IF(OR(B164&lt;Dane_kredytowe!F$15,Dane_kredytowe!F$15=""),-F164+S164,0)</f>
        <v>0</v>
      </c>
      <c r="AE164" s="75">
        <f t="shared" si="135"/>
        <v>369.40481893201655</v>
      </c>
      <c r="AG164" s="22">
        <f>Dane_kredytowe!F$17-SUM(AI$5:AI163)+SUM(W$42:W164)-SUM(X$42:X164)</f>
        <v>73200.880000000034</v>
      </c>
      <c r="AH164" s="22">
        <f t="shared" si="136"/>
        <v>130.54</v>
      </c>
      <c r="AI164" s="22">
        <f t="shared" si="137"/>
        <v>264.26</v>
      </c>
      <c r="AJ164" s="22">
        <f t="shared" si="123"/>
        <v>394.79999999999995</v>
      </c>
      <c r="AK164" s="22">
        <f t="shared" si="138"/>
        <v>1578.27</v>
      </c>
      <c r="AL164" s="22">
        <f>Dane_kredytowe!F$8-SUM(AN$5:AN163)+SUM(R$42:R163)-SUM(S$42:S164)</f>
        <v>230833.6099999999</v>
      </c>
      <c r="AM164" s="22">
        <f t="shared" si="139"/>
        <v>411.65</v>
      </c>
      <c r="AN164" s="22">
        <f t="shared" si="140"/>
        <v>833.33</v>
      </c>
      <c r="AO164" s="22">
        <f t="shared" si="117"/>
        <v>1244.98</v>
      </c>
      <c r="AP164" s="22">
        <f t="shared" si="118"/>
        <v>333.28999999999996</v>
      </c>
      <c r="AR164" s="87">
        <f t="shared" si="141"/>
        <v>42095</v>
      </c>
      <c r="AS164" s="23">
        <f>AS$5+SUM(AV$5:AV163)-SUM(X$5:X164)+SUM(W$5:W164)</f>
        <v>117943.88013804564</v>
      </c>
      <c r="AT164" s="22">
        <f t="shared" si="142"/>
        <v>-210.33325291284805</v>
      </c>
      <c r="AU164" s="22">
        <f>IF(AB164=1,IF(Q164="tak",AT164,PMT(M164/12,P164+1-SUM(AB$5:AB164),AS164)),0)</f>
        <v>-539.95215584192431</v>
      </c>
      <c r="AV164" s="22">
        <f t="shared" si="119"/>
        <v>-329.61890292907628</v>
      </c>
      <c r="AW164" s="22">
        <f t="shared" si="143"/>
        <v>-2095.6623072536768</v>
      </c>
      <c r="AY164" s="23">
        <f>AY$5+SUM(BA$5:BA163)+SUM(W$5:W163)-SUM(X$5:X163)</f>
        <v>106995.86143784181</v>
      </c>
      <c r="AZ164" s="23">
        <f t="shared" si="144"/>
        <v>-210.33325291284805</v>
      </c>
      <c r="BA164" s="23">
        <f t="shared" si="145"/>
        <v>-386.27</v>
      </c>
      <c r="BB164" s="23">
        <f t="shared" si="124"/>
        <v>-596.60325291284801</v>
      </c>
      <c r="BC164" s="23">
        <f t="shared" si="146"/>
        <v>-2315.5365452053456</v>
      </c>
      <c r="BE164" s="88">
        <f t="shared" si="147"/>
        <v>1.6500000000000001E-2</v>
      </c>
      <c r="BF164" s="89">
        <f>BE164+Dane_kredytowe!F$12</f>
        <v>4.65E-2</v>
      </c>
      <c r="BG164" s="23">
        <f>BG$5+SUM(BH$5:BH163)+SUM(R$5:R163)-SUM(S$5:S163)</f>
        <v>273412.35906319472</v>
      </c>
      <c r="BH164" s="22">
        <f t="shared" si="126"/>
        <v>-552.04629814092118</v>
      </c>
      <c r="BI164" s="22">
        <f t="shared" si="121"/>
        <v>-1059.4728913698796</v>
      </c>
      <c r="BJ164" s="22">
        <f>IF(U164&lt;0,PMT(BF164/12,Dane_kredytowe!F$13-SUM(AB$5:AB164)+1,BG164),0)</f>
        <v>-1611.5191895108007</v>
      </c>
      <c r="BL164" s="23">
        <f>BL$5+SUM(BN$5:BN163)+SUM(R$5:R163)-SUM(S$5:S163)</f>
        <v>230833.33333333328</v>
      </c>
      <c r="BM164" s="23">
        <f t="shared" si="129"/>
        <v>-894.47916666666652</v>
      </c>
      <c r="BN164" s="23">
        <f t="shared" si="148"/>
        <v>-833.33333333333314</v>
      </c>
      <c r="BO164" s="23">
        <f t="shared" si="130"/>
        <v>-1727.8124999999995</v>
      </c>
      <c r="BQ164" s="89">
        <f t="shared" si="149"/>
        <v>3.32E-2</v>
      </c>
      <c r="BR164" s="23">
        <f>BR$5+SUM(BS$5:BS163)+SUM(R$5:R163)-SUM(S$5:S163)+SUM(BV$5:BV163)</f>
        <v>311131.88998007844</v>
      </c>
      <c r="BS164" s="22">
        <f t="shared" si="163"/>
        <v>-748.74326390650958</v>
      </c>
      <c r="BT164" s="22">
        <f t="shared" si="164"/>
        <v>-860.7982289448837</v>
      </c>
      <c r="BU164" s="22">
        <f>IF(U164&lt;0,PMT(BQ164/12,Dane_kredytowe!F$13-SUM(AB$5:AB164)+1,BR164),0)</f>
        <v>-1609.5414928513933</v>
      </c>
      <c r="BV164" s="22">
        <f t="shared" si="157"/>
        <v>132.79549011528229</v>
      </c>
      <c r="BX164" s="23">
        <f>BX$5+SUM(BZ$5:BZ163)+SUM(R$5:R163)-SUM(S$5:S163)+SUM(CB$5,CB163)</f>
        <v>230666.49873079985</v>
      </c>
      <c r="BY164" s="22">
        <f t="shared" si="150"/>
        <v>-638.17731315521291</v>
      </c>
      <c r="BZ164" s="22">
        <f t="shared" si="151"/>
        <v>-832.73104234945799</v>
      </c>
      <c r="CA164" s="22">
        <f t="shared" si="165"/>
        <v>-1470.9083555046709</v>
      </c>
      <c r="CB164" s="22">
        <f t="shared" si="166"/>
        <v>-5.8376472314400871</v>
      </c>
      <c r="CD164" s="22">
        <f>CD$5+SUM(CE$5:CE163)+SUM(R$5:R163)-SUM(S$5:S163)-SUM(CF$5:CF163)</f>
        <v>294194.34638356505</v>
      </c>
      <c r="CE164" s="22">
        <f t="shared" si="158"/>
        <v>638.17731315521291</v>
      </c>
      <c r="CF164" s="22">
        <f t="shared" si="152"/>
        <v>1476.746002736111</v>
      </c>
      <c r="CG164" s="22">
        <f t="shared" si="159"/>
        <v>838.56868958089808</v>
      </c>
      <c r="CI164" s="89">
        <f t="shared" si="153"/>
        <v>0.46550000000000002</v>
      </c>
      <c r="CJ164" s="22">
        <f t="shared" si="154"/>
        <v>-687.43</v>
      </c>
      <c r="CK164" s="15">
        <f t="shared" si="160"/>
        <v>0</v>
      </c>
      <c r="CM164" s="22">
        <f t="shared" si="161"/>
        <v>-114580.66369316203</v>
      </c>
      <c r="CN164" s="15">
        <f t="shared" si="167"/>
        <v>-157.54841257809781</v>
      </c>
    </row>
    <row r="165" spans="1:92">
      <c r="A165" s="25"/>
      <c r="B165" s="80">
        <v>42125</v>
      </c>
      <c r="C165" s="81">
        <f t="shared" si="131"/>
        <v>3.9211</v>
      </c>
      <c r="D165" s="82">
        <f t="shared" si="162"/>
        <v>4.0387330000000006</v>
      </c>
      <c r="E165" s="73">
        <f t="shared" si="170"/>
        <v>-369.40481893201655</v>
      </c>
      <c r="F165" s="19">
        <f t="shared" si="171"/>
        <v>-1491.9274325797603</v>
      </c>
      <c r="G165" s="19">
        <f t="shared" si="116"/>
        <v>-1164.8927810133673</v>
      </c>
      <c r="H165" s="19">
        <f t="shared" si="172"/>
        <v>327.03465156639299</v>
      </c>
      <c r="I165" s="62"/>
      <c r="J165" s="15" t="str">
        <f t="shared" si="168"/>
        <v xml:space="preserve"> </v>
      </c>
      <c r="K165" s="15">
        <f>IF(B165&lt;=Dane_kredytowe!F$9,0,K164+1)</f>
        <v>85</v>
      </c>
      <c r="L165" s="83">
        <f t="shared" si="132"/>
        <v>-8.6E-3</v>
      </c>
      <c r="M165" s="84">
        <f>L165+Dane_kredytowe!F$12</f>
        <v>2.1399999999999999E-2</v>
      </c>
      <c r="N165" s="79">
        <f>MAX(Dane_kredytowe!F$17+SUM(AA$5:AA164)-SUM(X$5:X165)+SUM(W$5:W165),0)</f>
        <v>80465.045662491437</v>
      </c>
      <c r="O165" s="85">
        <f>MAX(Dane_kredytowe!F$8+SUM(V$5:V164)-SUM(S$5:S165)+SUM(R$5:R164),0)</f>
        <v>253741.00718864048</v>
      </c>
      <c r="P165" s="67">
        <f t="shared" si="122"/>
        <v>360</v>
      </c>
      <c r="Q165" s="127" t="str">
        <f>IF(AND(K165&gt;0,K165&lt;=Dane_kredytowe!F$16),"tak","nie")</f>
        <v>nie</v>
      </c>
      <c r="R165" s="69"/>
      <c r="S165" s="86">
        <f>IF(Dane_kredytowe!F$19=B165,O164+V164,_xlfn.XLOOKUP(B165,Dane_kredytowe!M$9:M$18,Dane_kredytowe!N$9:N$18,0))</f>
        <v>0</v>
      </c>
      <c r="T165" s="71">
        <f t="shared" si="133"/>
        <v>-452.50479615307546</v>
      </c>
      <c r="U165" s="72">
        <f>IF(Q165="tak",T165,IF(P165-SUM(AB$5:AB165)+1&gt;0,IF(Dane_kredytowe!F$9&lt;B165,IF(SUM(AB$5:AB165)-Dane_kredytowe!F$16+1&gt;0,PMT(M165/12,P165+1-SUM(AB$5:AB165),O165),T165),0),0))</f>
        <v>-1164.8927810133673</v>
      </c>
      <c r="V165" s="72">
        <f t="shared" si="155"/>
        <v>-712.38798486029191</v>
      </c>
      <c r="W165" s="19" t="str">
        <f t="shared" si="156"/>
        <v xml:space="preserve"> </v>
      </c>
      <c r="X165" s="19">
        <f t="shared" si="169"/>
        <v>0</v>
      </c>
      <c r="Y165" s="73">
        <f t="shared" si="134"/>
        <v>-143.49599809810971</v>
      </c>
      <c r="Z165" s="19">
        <f>IF(P165-SUM(AB$5:AB165)+1&gt;0,IF(Dane_kredytowe!F$9&lt;B165,IF(SUM(AB$5:AB165)-Dane_kredytowe!F$16+1&gt;0,PMT(M165/12,P165+1-SUM(AB$5:AB165),N165),Y165),0),0)</f>
        <v>-369.40481893201655</v>
      </c>
      <c r="AA165" s="19">
        <f t="shared" si="173"/>
        <v>-225.90882083390684</v>
      </c>
      <c r="AB165" s="20">
        <f>IF(AND(Dane_kredytowe!F$9&lt;B165,SUM(AB$5:AB164)&lt;P164),1," ")</f>
        <v>1</v>
      </c>
      <c r="AD165" s="75">
        <f>IF(OR(B165&lt;Dane_kredytowe!F$15,Dane_kredytowe!F$15=""),-F165+S165,0)</f>
        <v>0</v>
      </c>
      <c r="AE165" s="75">
        <f t="shared" si="135"/>
        <v>369.40481893201655</v>
      </c>
      <c r="AG165" s="22">
        <f>Dane_kredytowe!F$17-SUM(AI$5:AI164)+SUM(W$42:W165)-SUM(X$42:X165)</f>
        <v>72936.620000000024</v>
      </c>
      <c r="AH165" s="22">
        <f t="shared" si="136"/>
        <v>130.07</v>
      </c>
      <c r="AI165" s="22">
        <f t="shared" si="137"/>
        <v>264.26</v>
      </c>
      <c r="AJ165" s="22">
        <f t="shared" si="123"/>
        <v>394.33</v>
      </c>
      <c r="AK165" s="22">
        <f t="shared" si="138"/>
        <v>1592.59</v>
      </c>
      <c r="AL165" s="22">
        <f>Dane_kredytowe!F$8-SUM(AN$5:AN164)+SUM(R$42:R164)-SUM(S$42:S165)</f>
        <v>230000.27999999991</v>
      </c>
      <c r="AM165" s="22">
        <f t="shared" si="139"/>
        <v>410.17</v>
      </c>
      <c r="AN165" s="22">
        <f t="shared" si="140"/>
        <v>833.33</v>
      </c>
      <c r="AO165" s="22">
        <f t="shared" si="117"/>
        <v>1243.5</v>
      </c>
      <c r="AP165" s="22">
        <f t="shared" si="118"/>
        <v>349.08999999999992</v>
      </c>
      <c r="AR165" s="87">
        <f t="shared" si="141"/>
        <v>42125</v>
      </c>
      <c r="AS165" s="23">
        <f>AS$5+SUM(AV$5:AV164)-SUM(X$5:X165)+SUM(W$5:W165)</f>
        <v>117614.26123511657</v>
      </c>
      <c r="AT165" s="22">
        <f t="shared" si="142"/>
        <v>-209.74543253595789</v>
      </c>
      <c r="AU165" s="22">
        <f>IF(AB165=1,IF(Q165="tak",AT165,PMT(M165/12,P165+1-SUM(AB$5:AB165),AS165)),0)</f>
        <v>-539.95215584192431</v>
      </c>
      <c r="AV165" s="22">
        <f t="shared" si="119"/>
        <v>-330.20672330596642</v>
      </c>
      <c r="AW165" s="22">
        <f t="shared" si="143"/>
        <v>-2117.2063982717696</v>
      </c>
      <c r="AY165" s="23">
        <f>AY$5+SUM(BA$5:BA164)+SUM(W$5:W164)-SUM(X$5:X164)</f>
        <v>106609.59143784182</v>
      </c>
      <c r="AZ165" s="23">
        <f t="shared" si="144"/>
        <v>-209.74543253595789</v>
      </c>
      <c r="BA165" s="23">
        <f t="shared" si="145"/>
        <v>-386.27</v>
      </c>
      <c r="BB165" s="23">
        <f t="shared" si="124"/>
        <v>-596.01543253595787</v>
      </c>
      <c r="BC165" s="23">
        <f t="shared" si="146"/>
        <v>-2337.0361125167447</v>
      </c>
      <c r="BE165" s="88">
        <f t="shared" si="147"/>
        <v>1.67E-2</v>
      </c>
      <c r="BF165" s="89">
        <f>BE165+Dane_kredytowe!F$12</f>
        <v>4.6699999999999998E-2</v>
      </c>
      <c r="BG165" s="23">
        <f>BG$5+SUM(BH$5:BH164)+SUM(R$5:R164)-SUM(S$5:S164)</f>
        <v>272860.31276505376</v>
      </c>
      <c r="BH165" s="22">
        <f t="shared" si="126"/>
        <v>-552.70021100928898</v>
      </c>
      <c r="BI165" s="22">
        <f t="shared" si="121"/>
        <v>-1061.8813838440008</v>
      </c>
      <c r="BJ165" s="22">
        <f>IF(U165&lt;0,PMT(BF165/12,Dane_kredytowe!F$13-SUM(AB$5:AB165)+1,BG165),0)</f>
        <v>-1614.5815948532897</v>
      </c>
      <c r="BL165" s="23">
        <f>BL$5+SUM(BN$5:BN164)+SUM(R$5:R164)-SUM(S$5:S164)</f>
        <v>229999.99999999994</v>
      </c>
      <c r="BM165" s="23">
        <f t="shared" si="129"/>
        <v>-895.08333333333303</v>
      </c>
      <c r="BN165" s="23">
        <f t="shared" si="148"/>
        <v>-833.33333333333314</v>
      </c>
      <c r="BO165" s="23">
        <f t="shared" si="130"/>
        <v>-1728.4166666666661</v>
      </c>
      <c r="BQ165" s="89">
        <f t="shared" si="149"/>
        <v>3.3399999999999999E-2</v>
      </c>
      <c r="BR165" s="23">
        <f>BR$5+SUM(BS$5:BS164)+SUM(R$5:R164)-SUM(S$5:S164)+SUM(BV$5:BV164)</f>
        <v>310515.94220628717</v>
      </c>
      <c r="BS165" s="22">
        <f t="shared" si="163"/>
        <v>-749.20441616208052</v>
      </c>
      <c r="BT165" s="22">
        <f t="shared" si="164"/>
        <v>-864.26937247416583</v>
      </c>
      <c r="BU165" s="22">
        <f>IF(U165&lt;0,PMT(BQ165/12,Dane_kredytowe!F$13-SUM(AB$5:AB165)+1,BR165),0)</f>
        <v>-1613.4737886362464</v>
      </c>
      <c r="BV165" s="22">
        <f t="shared" si="157"/>
        <v>121.54635605648605</v>
      </c>
      <c r="BX165" s="23">
        <f>BX$5+SUM(BZ$5:BZ164)+SUM(R$5:R164)-SUM(S$5:S164)+SUM(CB$5,CB164)</f>
        <v>229831.1903052112</v>
      </c>
      <c r="BY165" s="22">
        <f t="shared" si="150"/>
        <v>-639.69681301617118</v>
      </c>
      <c r="BZ165" s="22">
        <f t="shared" si="151"/>
        <v>-832.72170400438847</v>
      </c>
      <c r="CA165" s="22">
        <f t="shared" si="165"/>
        <v>-1472.4185170205596</v>
      </c>
      <c r="CB165" s="22">
        <f t="shared" si="166"/>
        <v>-19.508915559200659</v>
      </c>
      <c r="CD165" s="22">
        <f>CD$5+SUM(CE$5:CE164)+SUM(R$5:R164)-SUM(S$5:S164)-SUM(CF$5:CF164)</f>
        <v>293355.77769398416</v>
      </c>
      <c r="CE165" s="22">
        <f t="shared" si="158"/>
        <v>639.69681301617118</v>
      </c>
      <c r="CF165" s="22">
        <f t="shared" si="152"/>
        <v>1491.9274325797603</v>
      </c>
      <c r="CG165" s="22">
        <f t="shared" si="159"/>
        <v>852.23061956358913</v>
      </c>
      <c r="CI165" s="89">
        <f t="shared" si="153"/>
        <v>0.46550000000000002</v>
      </c>
      <c r="CJ165" s="22">
        <f t="shared" si="154"/>
        <v>-694.49</v>
      </c>
      <c r="CK165" s="15">
        <f t="shared" si="160"/>
        <v>0</v>
      </c>
      <c r="CM165" s="22">
        <f t="shared" si="161"/>
        <v>-116072.59112574179</v>
      </c>
      <c r="CN165" s="15">
        <f t="shared" si="167"/>
        <v>-161.53435598332399</v>
      </c>
    </row>
    <row r="166" spans="1:92">
      <c r="A166" s="25"/>
      <c r="B166" s="80">
        <v>42156</v>
      </c>
      <c r="C166" s="81">
        <f t="shared" si="131"/>
        <v>3.9817</v>
      </c>
      <c r="D166" s="82">
        <f t="shared" si="162"/>
        <v>4.1011509999999998</v>
      </c>
      <c r="E166" s="73">
        <f t="shared" si="170"/>
        <v>-369.40481893201655</v>
      </c>
      <c r="F166" s="19">
        <f t="shared" si="171"/>
        <v>-1514.9849425678585</v>
      </c>
      <c r="G166" s="19">
        <f t="shared" si="116"/>
        <v>-1164.8927810133675</v>
      </c>
      <c r="H166" s="19">
        <f t="shared" si="172"/>
        <v>350.09216155449099</v>
      </c>
      <c r="I166" s="62"/>
      <c r="J166" s="15" t="str">
        <f t="shared" si="168"/>
        <v xml:space="preserve"> </v>
      </c>
      <c r="K166" s="15">
        <f>IF(B166&lt;=Dane_kredytowe!F$9,0,K165+1)</f>
        <v>86</v>
      </c>
      <c r="L166" s="83">
        <f t="shared" si="132"/>
        <v>-8.6E-3</v>
      </c>
      <c r="M166" s="84">
        <f>L166+Dane_kredytowe!F$12</f>
        <v>2.1399999999999999E-2</v>
      </c>
      <c r="N166" s="79">
        <f>MAX(Dane_kredytowe!F$17+SUM(AA$5:AA165)-SUM(X$5:X166)+SUM(W$5:W166),0)</f>
        <v>80239.136841657528</v>
      </c>
      <c r="O166" s="85">
        <f>MAX(Dane_kredytowe!F$8+SUM(V$5:V165)-SUM(S$5:S166)+SUM(R$5:R165),0)</f>
        <v>253028.6192037802</v>
      </c>
      <c r="P166" s="67">
        <f t="shared" si="122"/>
        <v>360</v>
      </c>
      <c r="Q166" s="127" t="str">
        <f>IF(AND(K166&gt;0,K166&lt;=Dane_kredytowe!F$16),"tak","nie")</f>
        <v>nie</v>
      </c>
      <c r="R166" s="69"/>
      <c r="S166" s="86">
        <f>IF(Dane_kredytowe!F$19=B166,O165+V165,_xlfn.XLOOKUP(B166,Dane_kredytowe!M$9:M$18,Dane_kredytowe!N$9:N$18,0))</f>
        <v>0</v>
      </c>
      <c r="T166" s="71">
        <f t="shared" si="133"/>
        <v>-451.23437091340799</v>
      </c>
      <c r="U166" s="72">
        <f>IF(Q166="tak",T166,IF(P166-SUM(AB$5:AB166)+1&gt;0,IF(Dane_kredytowe!F$9&lt;B166,IF(SUM(AB$5:AB166)-Dane_kredytowe!F$16+1&gt;0,PMT(M166/12,P166+1-SUM(AB$5:AB166),O166),T166),0),0))</f>
        <v>-1164.8927810133675</v>
      </c>
      <c r="V166" s="72">
        <f t="shared" si="155"/>
        <v>-713.65841009995961</v>
      </c>
      <c r="W166" s="19" t="str">
        <f t="shared" si="156"/>
        <v xml:space="preserve"> </v>
      </c>
      <c r="X166" s="19">
        <f t="shared" si="169"/>
        <v>0</v>
      </c>
      <c r="Y166" s="73">
        <f t="shared" si="134"/>
        <v>-143.0931273676226</v>
      </c>
      <c r="Z166" s="19">
        <f>IF(P166-SUM(AB$5:AB166)+1&gt;0,IF(Dane_kredytowe!F$9&lt;B166,IF(SUM(AB$5:AB166)-Dane_kredytowe!F$16+1&gt;0,PMT(M166/12,P166+1-SUM(AB$5:AB166),N166),Y166),0),0)</f>
        <v>-369.40481893201655</v>
      </c>
      <c r="AA166" s="19">
        <f t="shared" si="173"/>
        <v>-226.31169156439395</v>
      </c>
      <c r="AB166" s="20">
        <f>IF(AND(Dane_kredytowe!F$9&lt;B166,SUM(AB$5:AB165)&lt;P165),1," ")</f>
        <v>1</v>
      </c>
      <c r="AD166" s="75">
        <f>IF(OR(B166&lt;Dane_kredytowe!F$15,Dane_kredytowe!F$15=""),-F166+S166,0)</f>
        <v>0</v>
      </c>
      <c r="AE166" s="75">
        <f t="shared" si="135"/>
        <v>369.40481893201655</v>
      </c>
      <c r="AG166" s="22">
        <f>Dane_kredytowe!F$17-SUM(AI$5:AI165)+SUM(W$42:W166)-SUM(X$42:X166)</f>
        <v>72672.36000000003</v>
      </c>
      <c r="AH166" s="22">
        <f t="shared" si="136"/>
        <v>129.6</v>
      </c>
      <c r="AI166" s="22">
        <f t="shared" si="137"/>
        <v>264.26</v>
      </c>
      <c r="AJ166" s="22">
        <f t="shared" si="123"/>
        <v>393.86</v>
      </c>
      <c r="AK166" s="22">
        <f t="shared" si="138"/>
        <v>1615.28</v>
      </c>
      <c r="AL166" s="22">
        <f>Dane_kredytowe!F$8-SUM(AN$5:AN165)+SUM(R$42:R165)-SUM(S$42:S166)</f>
        <v>229166.9499999999</v>
      </c>
      <c r="AM166" s="22">
        <f t="shared" si="139"/>
        <v>408.68</v>
      </c>
      <c r="AN166" s="22">
        <f t="shared" si="140"/>
        <v>833.33</v>
      </c>
      <c r="AO166" s="22">
        <f t="shared" si="117"/>
        <v>1242.01</v>
      </c>
      <c r="AP166" s="22">
        <f t="shared" si="118"/>
        <v>373.27</v>
      </c>
      <c r="AR166" s="87">
        <f t="shared" si="141"/>
        <v>42156</v>
      </c>
      <c r="AS166" s="23">
        <f>AS$5+SUM(AV$5:AV165)-SUM(X$5:X166)+SUM(W$5:W166)</f>
        <v>117284.05451181059</v>
      </c>
      <c r="AT166" s="22">
        <f t="shared" si="142"/>
        <v>-209.15656387939555</v>
      </c>
      <c r="AU166" s="22">
        <f>IF(AB166=1,IF(Q166="tak",AT166,PMT(M166/12,P166+1-SUM(AB$5:AB166),AS166)),0)</f>
        <v>-539.95215584192431</v>
      </c>
      <c r="AV166" s="22">
        <f t="shared" si="119"/>
        <v>-330.79559196252876</v>
      </c>
      <c r="AW166" s="22">
        <f t="shared" si="143"/>
        <v>-2149.9274989157902</v>
      </c>
      <c r="AY166" s="23">
        <f>AY$5+SUM(BA$5:BA165)+SUM(W$5:W165)-SUM(X$5:X165)</f>
        <v>106223.32143784182</v>
      </c>
      <c r="AZ166" s="23">
        <f t="shared" si="144"/>
        <v>-209.15656387939555</v>
      </c>
      <c r="BA166" s="23">
        <f t="shared" si="145"/>
        <v>-386.27</v>
      </c>
      <c r="BB166" s="23">
        <f t="shared" si="124"/>
        <v>-595.42656387939553</v>
      </c>
      <c r="BC166" s="23">
        <f t="shared" si="146"/>
        <v>-2370.8099493985892</v>
      </c>
      <c r="BE166" s="88">
        <f t="shared" si="147"/>
        <v>1.7000000000000001E-2</v>
      </c>
      <c r="BF166" s="89">
        <f>BE166+Dane_kredytowe!F$12</f>
        <v>4.7E-2</v>
      </c>
      <c r="BG166" s="23">
        <f>BG$5+SUM(BH$5:BH165)+SUM(R$5:R165)-SUM(S$5:S165)</f>
        <v>272307.61255404446</v>
      </c>
      <c r="BH166" s="22">
        <f t="shared" si="126"/>
        <v>-552.6296407088023</v>
      </c>
      <c r="BI166" s="22">
        <f t="shared" si="121"/>
        <v>-1066.5381491700075</v>
      </c>
      <c r="BJ166" s="22">
        <f>IF(U166&lt;0,PMT(BF166/12,Dane_kredytowe!F$13-SUM(AB$5:AB166)+1,BG166),0)</f>
        <v>-1619.1677898788098</v>
      </c>
      <c r="BL166" s="23">
        <f>BL$5+SUM(BN$5:BN165)+SUM(R$5:R165)-SUM(S$5:S165)</f>
        <v>229166.66666666663</v>
      </c>
      <c r="BM166" s="23">
        <f t="shared" si="129"/>
        <v>-897.56944444444434</v>
      </c>
      <c r="BN166" s="23">
        <f t="shared" si="148"/>
        <v>-833.33333333333314</v>
      </c>
      <c r="BO166" s="23">
        <f t="shared" si="130"/>
        <v>-1730.9027777777774</v>
      </c>
      <c r="BQ166" s="89">
        <f t="shared" si="149"/>
        <v>3.3700000000000001E-2</v>
      </c>
      <c r="BR166" s="23">
        <f>BR$5+SUM(BS$5:BS165)+SUM(R$5:R165)-SUM(S$5:S165)+SUM(BV$5:BV165)</f>
        <v>309888.2841461816</v>
      </c>
      <c r="BS166" s="22">
        <f t="shared" si="163"/>
        <v>-748.69657302491919</v>
      </c>
      <c r="BT166" s="22">
        <f t="shared" si="164"/>
        <v>-870.26959797719337</v>
      </c>
      <c r="BU166" s="22">
        <f>IF(U166&lt;0,PMT(BQ166/12,Dane_kredytowe!F$13-SUM(AB$5:AB166)+1,BR166),0)</f>
        <v>-1618.9661710021126</v>
      </c>
      <c r="BV166" s="22">
        <f t="shared" si="157"/>
        <v>103.98122843425404</v>
      </c>
      <c r="BX166" s="23">
        <f>BX$5+SUM(BZ$5:BZ165)+SUM(R$5:R165)-SUM(S$5:S165)+SUM(CB$5,CB165)</f>
        <v>228984.79733287904</v>
      </c>
      <c r="BY166" s="22">
        <f t="shared" si="150"/>
        <v>-643.06563917650203</v>
      </c>
      <c r="BZ166" s="22">
        <f t="shared" si="151"/>
        <v>-832.67199030137829</v>
      </c>
      <c r="CA166" s="22">
        <f t="shared" si="165"/>
        <v>-1475.7376294778803</v>
      </c>
      <c r="CB166" s="22">
        <f t="shared" si="166"/>
        <v>-39.247313089978206</v>
      </c>
      <c r="CD166" s="22">
        <f>CD$5+SUM(CE$5:CE165)+SUM(R$5:R165)-SUM(S$5:S165)-SUM(CF$5:CF165)</f>
        <v>292503.54707442055</v>
      </c>
      <c r="CE166" s="22">
        <f t="shared" si="158"/>
        <v>643.06563917650203</v>
      </c>
      <c r="CF166" s="22">
        <f t="shared" si="152"/>
        <v>1514.9849425678585</v>
      </c>
      <c r="CG166" s="22">
        <f t="shared" si="159"/>
        <v>871.91930339135649</v>
      </c>
      <c r="CI166" s="89">
        <f t="shared" si="153"/>
        <v>0.46550000000000002</v>
      </c>
      <c r="CJ166" s="22">
        <f t="shared" si="154"/>
        <v>-705.23</v>
      </c>
      <c r="CK166" s="15">
        <f t="shared" si="160"/>
        <v>0</v>
      </c>
      <c r="CM166" s="22">
        <f t="shared" si="161"/>
        <v>-117587.57606830965</v>
      </c>
      <c r="CN166" s="15">
        <f t="shared" si="167"/>
        <v>-166.58239943010534</v>
      </c>
    </row>
    <row r="167" spans="1:92">
      <c r="A167" s="25" t="s">
        <v>22</v>
      </c>
      <c r="B167" s="80">
        <v>42186</v>
      </c>
      <c r="C167" s="81">
        <f t="shared" si="131"/>
        <v>3.9626999999999999</v>
      </c>
      <c r="D167" s="82">
        <f t="shared" si="162"/>
        <v>4.0815809999999999</v>
      </c>
      <c r="E167" s="73">
        <f t="shared" si="170"/>
        <v>-374.08344825943499</v>
      </c>
      <c r="F167" s="19">
        <f t="shared" si="171"/>
        <v>-1526.8518948301928</v>
      </c>
      <c r="G167" s="19">
        <f t="shared" si="116"/>
        <v>-1179.6465179686782</v>
      </c>
      <c r="H167" s="19">
        <f t="shared" si="172"/>
        <v>347.20537686151465</v>
      </c>
      <c r="I167" s="62"/>
      <c r="J167" s="15" t="str">
        <f t="shared" si="168"/>
        <v xml:space="preserve"> </v>
      </c>
      <c r="K167" s="15">
        <f>IF(B167&lt;=Dane_kredytowe!F$9,0,K166+1)</f>
        <v>87</v>
      </c>
      <c r="L167" s="83">
        <f t="shared" si="132"/>
        <v>-7.4000000000000003E-3</v>
      </c>
      <c r="M167" s="84">
        <f>L167+Dane_kredytowe!F$12</f>
        <v>2.2599999999999999E-2</v>
      </c>
      <c r="N167" s="79">
        <f>MAX(Dane_kredytowe!F$17+SUM(AA$5:AA166)-SUM(X$5:X167)+SUM(W$5:W167),0)</f>
        <v>80012.825150093136</v>
      </c>
      <c r="O167" s="85">
        <f>MAX(Dane_kredytowe!F$8+SUM(V$5:V166)-SUM(S$5:S167)+SUM(R$5:R166),0)</f>
        <v>252314.96079368022</v>
      </c>
      <c r="P167" s="67">
        <f t="shared" si="122"/>
        <v>360</v>
      </c>
      <c r="Q167" s="127" t="str">
        <f>IF(AND(K167&gt;0,K167&lt;=Dane_kredytowe!F$16),"tak","nie")</f>
        <v>nie</v>
      </c>
      <c r="R167" s="69"/>
      <c r="S167" s="86">
        <f>IF(Dane_kredytowe!F$19=B167,O166+V166,_xlfn.XLOOKUP(B167,Dane_kredytowe!M$9:M$18,Dane_kredytowe!N$9:N$18,0))</f>
        <v>0</v>
      </c>
      <c r="T167" s="71">
        <f t="shared" si="133"/>
        <v>-475.19317616143104</v>
      </c>
      <c r="U167" s="72">
        <f>IF(Q167="tak",T167,IF(P167-SUM(AB$5:AB167)+1&gt;0,IF(Dane_kredytowe!F$9&lt;B167,IF(SUM(AB$5:AB167)-Dane_kredytowe!F$16+1&gt;0,PMT(M167/12,P167+1-SUM(AB$5:AB167),O167),T167),0),0))</f>
        <v>-1179.6465179686782</v>
      </c>
      <c r="V167" s="72">
        <f t="shared" si="155"/>
        <v>-704.45334180724717</v>
      </c>
      <c r="W167" s="19" t="str">
        <f t="shared" si="156"/>
        <v xml:space="preserve"> </v>
      </c>
      <c r="X167" s="19">
        <f t="shared" si="169"/>
        <v>0</v>
      </c>
      <c r="Y167" s="73">
        <f t="shared" si="134"/>
        <v>-150.69082069934205</v>
      </c>
      <c r="Z167" s="19">
        <f>IF(P167-SUM(AB$5:AB167)+1&gt;0,IF(Dane_kredytowe!F$9&lt;B167,IF(SUM(AB$5:AB167)-Dane_kredytowe!F$16+1&gt;0,PMT(M167/12,P167+1-SUM(AB$5:AB167),N167),Y167),0),0)</f>
        <v>-374.08344825943499</v>
      </c>
      <c r="AA167" s="19">
        <f t="shared" si="173"/>
        <v>-223.39262756009293</v>
      </c>
      <c r="AB167" s="20">
        <f>IF(AND(Dane_kredytowe!F$9&lt;B167,SUM(AB$5:AB166)&lt;P166),1," ")</f>
        <v>1</v>
      </c>
      <c r="AD167" s="75">
        <f>IF(OR(B167&lt;Dane_kredytowe!F$15,Dane_kredytowe!F$15=""),-F167+S167,0)</f>
        <v>0</v>
      </c>
      <c r="AE167" s="75">
        <f t="shared" si="135"/>
        <v>374.08344825943499</v>
      </c>
      <c r="AG167" s="22">
        <f>Dane_kredytowe!F$17-SUM(AI$5:AI166)+SUM(W$42:W167)-SUM(X$42:X167)</f>
        <v>72408.100000000035</v>
      </c>
      <c r="AH167" s="22">
        <f t="shared" si="136"/>
        <v>136.37</v>
      </c>
      <c r="AI167" s="22">
        <f t="shared" si="137"/>
        <v>264.26</v>
      </c>
      <c r="AJ167" s="22">
        <f t="shared" si="123"/>
        <v>400.63</v>
      </c>
      <c r="AK167" s="22">
        <f t="shared" si="138"/>
        <v>1635.2</v>
      </c>
      <c r="AL167" s="22">
        <f>Dane_kredytowe!F$8-SUM(AN$5:AN166)+SUM(R$42:R166)-SUM(S$42:S167)</f>
        <v>228333.61999999988</v>
      </c>
      <c r="AM167" s="22">
        <f t="shared" si="139"/>
        <v>430.03</v>
      </c>
      <c r="AN167" s="22">
        <f t="shared" si="140"/>
        <v>833.33</v>
      </c>
      <c r="AO167" s="22">
        <f t="shared" si="117"/>
        <v>1263.3600000000001</v>
      </c>
      <c r="AP167" s="22">
        <f t="shared" si="118"/>
        <v>371.83999999999992</v>
      </c>
      <c r="AR167" s="87">
        <f t="shared" si="141"/>
        <v>42186</v>
      </c>
      <c r="AS167" s="23">
        <f>AS$5+SUM(AV$5:AV166)-SUM(X$5:X167)+SUM(W$5:W167)</f>
        <v>116953.25891984807</v>
      </c>
      <c r="AT167" s="22">
        <f t="shared" si="142"/>
        <v>-220.26197096571386</v>
      </c>
      <c r="AU167" s="22">
        <f>IF(AB167=1,IF(Q167="tak",AT167,PMT(M167/12,P167+1-SUM(AB$5:AB167),AS167)),0)</f>
        <v>-546.79082134452494</v>
      </c>
      <c r="AV167" s="22">
        <f t="shared" si="119"/>
        <v>-326.52885037881106</v>
      </c>
      <c r="AW167" s="22">
        <f t="shared" si="143"/>
        <v>-2166.7679877419491</v>
      </c>
      <c r="AY167" s="23">
        <f>AY$5+SUM(BA$5:BA166)+SUM(W$5:W166)-SUM(X$5:X166)</f>
        <v>105837.05143784182</v>
      </c>
      <c r="AZ167" s="23">
        <f t="shared" si="144"/>
        <v>-220.26197096571386</v>
      </c>
      <c r="BA167" s="23">
        <f t="shared" si="145"/>
        <v>-386.27</v>
      </c>
      <c r="BB167" s="23">
        <f t="shared" si="124"/>
        <v>-606.53197096571387</v>
      </c>
      <c r="BC167" s="23">
        <f t="shared" si="146"/>
        <v>-2403.5042413458341</v>
      </c>
      <c r="BE167" s="88">
        <f t="shared" si="147"/>
        <v>1.72E-2</v>
      </c>
      <c r="BF167" s="89">
        <f>BE167+Dane_kredytowe!F$12</f>
        <v>4.7199999999999999E-2</v>
      </c>
      <c r="BG167" s="23">
        <f>BG$5+SUM(BH$5:BH166)+SUM(R$5:R166)-SUM(S$5:S166)</f>
        <v>271754.98291333567</v>
      </c>
      <c r="BH167" s="22">
        <f t="shared" si="126"/>
        <v>-553.31734615403707</v>
      </c>
      <c r="BI167" s="22">
        <f t="shared" si="121"/>
        <v>-1068.9029327924536</v>
      </c>
      <c r="BJ167" s="22">
        <f>IF(U167&lt;0,PMT(BF167/12,Dane_kredytowe!F$13-SUM(AB$5:AB167)+1,BG167),0)</f>
        <v>-1622.2202789464907</v>
      </c>
      <c r="BL167" s="23">
        <f>BL$5+SUM(BN$5:BN166)+SUM(R$5:R166)-SUM(S$5:S166)</f>
        <v>228333.33333333331</v>
      </c>
      <c r="BM167" s="23">
        <f t="shared" si="129"/>
        <v>-898.11111111111097</v>
      </c>
      <c r="BN167" s="23">
        <f t="shared" si="148"/>
        <v>-833.33333333333326</v>
      </c>
      <c r="BO167" s="23">
        <f t="shared" si="130"/>
        <v>-1731.4444444444443</v>
      </c>
      <c r="BQ167" s="89">
        <f t="shared" si="149"/>
        <v>3.39E-2</v>
      </c>
      <c r="BR167" s="23">
        <f>BR$5+SUM(BS$5:BS166)+SUM(R$5:R166)-SUM(S$5:S166)+SUM(BV$5:BV166)</f>
        <v>309243.56880159094</v>
      </c>
      <c r="BS167" s="22">
        <f t="shared" si="163"/>
        <v>-749.13280296583468</v>
      </c>
      <c r="BT167" s="22">
        <f t="shared" si="164"/>
        <v>-873.61308186449435</v>
      </c>
      <c r="BU167" s="22">
        <f>IF(U167&lt;0,PMT(BQ167/12,Dane_kredytowe!F$13-SUM(AB$5:AB167)+1,BR167),0)</f>
        <v>-1622.745884830329</v>
      </c>
      <c r="BV167" s="22">
        <f t="shared" si="157"/>
        <v>95.893990000136228</v>
      </c>
      <c r="BX167" s="23">
        <f>BX$5+SUM(BZ$5:BZ166)+SUM(R$5:R166)-SUM(S$5:S166)+SUM(CB$5,CB166)</f>
        <v>228132.38694504689</v>
      </c>
      <c r="BY167" s="22">
        <f t="shared" si="150"/>
        <v>-644.47399311975744</v>
      </c>
      <c r="BZ167" s="22">
        <f t="shared" si="151"/>
        <v>-832.59995235418569</v>
      </c>
      <c r="CA167" s="22">
        <f t="shared" si="165"/>
        <v>-1477.0739454739432</v>
      </c>
      <c r="CB167" s="22">
        <f t="shared" si="166"/>
        <v>-49.777949356249565</v>
      </c>
      <c r="CD167" s="22">
        <f>CD$5+SUM(CE$5:CE166)+SUM(R$5:R166)-SUM(S$5:S166)-SUM(CF$5:CF166)</f>
        <v>291631.62777102919</v>
      </c>
      <c r="CE167" s="22">
        <f t="shared" si="158"/>
        <v>644.47399311975744</v>
      </c>
      <c r="CF167" s="22">
        <f t="shared" si="152"/>
        <v>1526.8518948301928</v>
      </c>
      <c r="CG167" s="22">
        <f t="shared" si="159"/>
        <v>882.37790171043537</v>
      </c>
      <c r="CI167" s="89">
        <f t="shared" si="153"/>
        <v>0.46700000000000003</v>
      </c>
      <c r="CJ167" s="22">
        <f t="shared" si="154"/>
        <v>-713.04</v>
      </c>
      <c r="CK167" s="15">
        <f t="shared" si="160"/>
        <v>0</v>
      </c>
      <c r="CM167" s="22">
        <f t="shared" si="161"/>
        <v>-119114.42796313984</v>
      </c>
      <c r="CN167" s="15">
        <f t="shared" si="167"/>
        <v>-170.73068008050043</v>
      </c>
    </row>
    <row r="168" spans="1:92">
      <c r="A168" s="25"/>
      <c r="B168" s="80">
        <v>42217</v>
      </c>
      <c r="C168" s="81">
        <f t="shared" si="131"/>
        <v>3.8929</v>
      </c>
      <c r="D168" s="82">
        <f t="shared" si="162"/>
        <v>4.0096870000000004</v>
      </c>
      <c r="E168" s="73">
        <f t="shared" si="170"/>
        <v>-374.08344825943504</v>
      </c>
      <c r="F168" s="19">
        <f t="shared" si="171"/>
        <v>-1499.9575394010294</v>
      </c>
      <c r="G168" s="19">
        <f t="shared" ref="G168:G176" si="174">U168</f>
        <v>-1179.6465179686782</v>
      </c>
      <c r="H168" s="19">
        <f t="shared" si="172"/>
        <v>320.31102143235125</v>
      </c>
      <c r="I168" s="62"/>
      <c r="J168" s="15" t="str">
        <f t="shared" si="168"/>
        <v xml:space="preserve"> </v>
      </c>
      <c r="K168" s="15">
        <f>IF(B168&lt;=Dane_kredytowe!F$9,0,K167+1)</f>
        <v>88</v>
      </c>
      <c r="L168" s="83">
        <f t="shared" si="132"/>
        <v>-7.4000000000000003E-3</v>
      </c>
      <c r="M168" s="84">
        <f>L168+Dane_kredytowe!F$12</f>
        <v>2.2599999999999999E-2</v>
      </c>
      <c r="N168" s="79">
        <f>MAX(Dane_kredytowe!F$17+SUM(AA$5:AA167)-SUM(X$5:X168)+SUM(W$5:W168),0)</f>
        <v>79789.432522533054</v>
      </c>
      <c r="O168" s="85">
        <f>MAX(Dane_kredytowe!F$8+SUM(V$5:V167)-SUM(S$5:S168)+SUM(R$5:R167),0)</f>
        <v>251610.50745187298</v>
      </c>
      <c r="P168" s="67">
        <f t="shared" si="122"/>
        <v>360</v>
      </c>
      <c r="Q168" s="127" t="str">
        <f>IF(AND(K168&gt;0,K168&lt;=Dane_kredytowe!F$16),"tak","nie")</f>
        <v>nie</v>
      </c>
      <c r="R168" s="69"/>
      <c r="S168" s="86">
        <f>IF(Dane_kredytowe!F$19=B168,O167+V167,_xlfn.XLOOKUP(B168,Dane_kredytowe!M$9:M$18,Dane_kredytowe!N$9:N$18,0))</f>
        <v>0</v>
      </c>
      <c r="T168" s="71">
        <f t="shared" si="133"/>
        <v>-473.86645570102741</v>
      </c>
      <c r="U168" s="72">
        <f>IF(Q168="tak",T168,IF(P168-SUM(AB$5:AB168)+1&gt;0,IF(Dane_kredytowe!F$9&lt;B168,IF(SUM(AB$5:AB168)-Dane_kredytowe!F$16+1&gt;0,PMT(M168/12,P168+1-SUM(AB$5:AB168),O168),T168),0),0))</f>
        <v>-1179.6465179686782</v>
      </c>
      <c r="V168" s="72">
        <f t="shared" si="155"/>
        <v>-705.78006226765069</v>
      </c>
      <c r="W168" s="19" t="str">
        <f t="shared" si="156"/>
        <v xml:space="preserve"> </v>
      </c>
      <c r="X168" s="19">
        <f t="shared" si="169"/>
        <v>0</v>
      </c>
      <c r="Y168" s="73">
        <f t="shared" si="134"/>
        <v>-150.27009791743725</v>
      </c>
      <c r="Z168" s="19">
        <f>IF(P168-SUM(AB$5:AB168)+1&gt;0,IF(Dane_kredytowe!F$9&lt;B168,IF(SUM(AB$5:AB168)-Dane_kredytowe!F$16+1&gt;0,PMT(M168/12,P168+1-SUM(AB$5:AB168),N168),Y168),0),0)</f>
        <v>-374.08344825943504</v>
      </c>
      <c r="AA168" s="19">
        <f t="shared" si="173"/>
        <v>-223.81335034199779</v>
      </c>
      <c r="AB168" s="20">
        <f>IF(AND(Dane_kredytowe!F$9&lt;B168,SUM(AB$5:AB167)&lt;P167),1," ")</f>
        <v>1</v>
      </c>
      <c r="AD168" s="75">
        <f>IF(OR(B168&lt;Dane_kredytowe!F$15,Dane_kredytowe!F$15=""),-F168+S168,0)</f>
        <v>0</v>
      </c>
      <c r="AE168" s="75">
        <f t="shared" si="135"/>
        <v>374.08344825943504</v>
      </c>
      <c r="AG168" s="22">
        <f>Dane_kredytowe!F$17-SUM(AI$5:AI167)+SUM(W$42:W168)-SUM(X$42:X168)</f>
        <v>72143.84000000004</v>
      </c>
      <c r="AH168" s="22">
        <f t="shared" si="136"/>
        <v>135.87</v>
      </c>
      <c r="AI168" s="22">
        <f t="shared" si="137"/>
        <v>264.26</v>
      </c>
      <c r="AJ168" s="22">
        <f t="shared" si="123"/>
        <v>400.13</v>
      </c>
      <c r="AK168" s="22">
        <f t="shared" si="138"/>
        <v>1604.4</v>
      </c>
      <c r="AL168" s="22">
        <f>Dane_kredytowe!F$8-SUM(AN$5:AN167)+SUM(R$42:R167)-SUM(S$42:S168)</f>
        <v>227500.28999999989</v>
      </c>
      <c r="AM168" s="22">
        <f t="shared" si="139"/>
        <v>428.46</v>
      </c>
      <c r="AN168" s="22">
        <f t="shared" si="140"/>
        <v>833.33</v>
      </c>
      <c r="AO168" s="22">
        <f t="shared" si="117"/>
        <v>1261.79</v>
      </c>
      <c r="AP168" s="22">
        <f t="shared" si="118"/>
        <v>342.61000000000013</v>
      </c>
      <c r="AR168" s="87">
        <f t="shared" si="141"/>
        <v>42217</v>
      </c>
      <c r="AS168" s="23">
        <f>AS$5+SUM(AV$5:AV167)-SUM(X$5:X168)+SUM(W$5:W168)</f>
        <v>116626.73006946927</v>
      </c>
      <c r="AT168" s="22">
        <f t="shared" si="142"/>
        <v>-219.64700829750043</v>
      </c>
      <c r="AU168" s="22">
        <f>IF(AB168=1,IF(Q168="tak",AT168,PMT(M168/12,P168+1-SUM(AB$5:AB168),AS168)),0)</f>
        <v>-546.79082134452506</v>
      </c>
      <c r="AV168" s="22">
        <f t="shared" si="119"/>
        <v>-327.14381304702465</v>
      </c>
      <c r="AW168" s="22">
        <f t="shared" si="143"/>
        <v>-2128.6019884121015</v>
      </c>
      <c r="AY168" s="23">
        <f>AY$5+SUM(BA$5:BA167)+SUM(W$5:W167)-SUM(X$5:X167)</f>
        <v>105450.78143784183</v>
      </c>
      <c r="AZ168" s="23">
        <f t="shared" si="144"/>
        <v>-219.64700829750043</v>
      </c>
      <c r="BA168" s="23">
        <f t="shared" si="145"/>
        <v>-386.27</v>
      </c>
      <c r="BB168" s="23">
        <f t="shared" si="124"/>
        <v>-605.91700829750039</v>
      </c>
      <c r="BC168" s="23">
        <f t="shared" si="146"/>
        <v>-2358.7743216013391</v>
      </c>
      <c r="BE168" s="88">
        <f t="shared" si="147"/>
        <v>1.72E-2</v>
      </c>
      <c r="BF168" s="89">
        <f>BE168+Dane_kredytowe!F$12</f>
        <v>4.7199999999999999E-2</v>
      </c>
      <c r="BG168" s="23">
        <f>BG$5+SUM(BH$5:BH167)+SUM(R$5:R167)-SUM(S$5:S167)</f>
        <v>271201.66556718166</v>
      </c>
      <c r="BH168" s="22">
        <f t="shared" si="126"/>
        <v>-555.49372771557637</v>
      </c>
      <c r="BI168" s="22">
        <f t="shared" si="121"/>
        <v>-1066.7265512309145</v>
      </c>
      <c r="BJ168" s="22">
        <f>IF(U168&lt;0,PMT(BF168/12,Dane_kredytowe!F$13-SUM(AB$5:AB168)+1,BG168),0)</f>
        <v>-1622.2202789464909</v>
      </c>
      <c r="BL168" s="23">
        <f>BL$5+SUM(BN$5:BN167)+SUM(R$5:R167)-SUM(S$5:S167)</f>
        <v>227499.99999999997</v>
      </c>
      <c r="BM168" s="23">
        <f t="shared" si="129"/>
        <v>-894.83333333333314</v>
      </c>
      <c r="BN168" s="23">
        <f t="shared" si="148"/>
        <v>-833.33333333333326</v>
      </c>
      <c r="BO168" s="23">
        <f t="shared" si="130"/>
        <v>-1728.1666666666665</v>
      </c>
      <c r="BQ168" s="89">
        <f t="shared" si="149"/>
        <v>3.39E-2</v>
      </c>
      <c r="BR168" s="23">
        <f>BR$5+SUM(BS$5:BS167)+SUM(R$5:R167)-SUM(S$5:S167)+SUM(BV$5:BV167)</f>
        <v>308590.32998862525</v>
      </c>
      <c r="BS168" s="22">
        <f t="shared" si="163"/>
        <v>-751.48262525188181</v>
      </c>
      <c r="BT168" s="22">
        <f t="shared" si="164"/>
        <v>-871.76768221786631</v>
      </c>
      <c r="BU168" s="22">
        <f>IF(U168&lt;0,PMT(BQ168/12,Dane_kredytowe!F$13-SUM(AB$5:AB168)+1,BR168),0)</f>
        <v>-1623.2503074697481</v>
      </c>
      <c r="BV168" s="22">
        <f t="shared" si="157"/>
        <v>123.29276806871871</v>
      </c>
      <c r="BX168" s="23">
        <f>BX$5+SUM(BZ$5:BZ167)+SUM(R$5:R167)-SUM(S$5:S167)+SUM(CB$5,CB167)</f>
        <v>227289.25635642646</v>
      </c>
      <c r="BY168" s="22">
        <f t="shared" si="150"/>
        <v>-642.09214920690476</v>
      </c>
      <c r="BZ168" s="22">
        <f t="shared" si="151"/>
        <v>-832.56137859496869</v>
      </c>
      <c r="CA168" s="22">
        <f t="shared" si="165"/>
        <v>-1474.6535278018735</v>
      </c>
      <c r="CB168" s="22">
        <f t="shared" si="166"/>
        <v>-25.304011599155956</v>
      </c>
      <c r="CD168" s="22">
        <f>CD$5+SUM(CE$5:CE167)+SUM(R$5:R167)-SUM(S$5:S167)-SUM(CF$5:CF167)</f>
        <v>290749.2498693188</v>
      </c>
      <c r="CE168" s="22">
        <f t="shared" si="158"/>
        <v>642.09214920690476</v>
      </c>
      <c r="CF168" s="22">
        <f t="shared" si="152"/>
        <v>1499.9575394010294</v>
      </c>
      <c r="CG168" s="22">
        <f t="shared" si="159"/>
        <v>857.86539019412464</v>
      </c>
      <c r="CI168" s="89">
        <f t="shared" si="153"/>
        <v>0.47289999999999999</v>
      </c>
      <c r="CJ168" s="22">
        <f t="shared" si="154"/>
        <v>-709.33</v>
      </c>
      <c r="CK168" s="15">
        <f t="shared" si="160"/>
        <v>0</v>
      </c>
      <c r="CM168" s="22">
        <f t="shared" si="161"/>
        <v>-120614.38550254087</v>
      </c>
      <c r="CN168" s="15">
        <f t="shared" si="167"/>
        <v>-172.8806192203086</v>
      </c>
    </row>
    <row r="169" spans="1:92">
      <c r="A169" s="25"/>
      <c r="B169" s="80">
        <v>42248</v>
      </c>
      <c r="C169" s="81">
        <f t="shared" si="131"/>
        <v>3.8605</v>
      </c>
      <c r="D169" s="82">
        <f t="shared" si="162"/>
        <v>3.976315</v>
      </c>
      <c r="E169" s="73">
        <f t="shared" si="170"/>
        <v>-374.08344825943499</v>
      </c>
      <c r="F169" s="19">
        <f t="shared" si="171"/>
        <v>-1487.4736265657152</v>
      </c>
      <c r="G169" s="19">
        <f t="shared" si="174"/>
        <v>-1179.6465179686782</v>
      </c>
      <c r="H169" s="19">
        <f t="shared" si="172"/>
        <v>307.82710859703707</v>
      </c>
      <c r="I169" s="62"/>
      <c r="J169" s="15" t="str">
        <f t="shared" si="168"/>
        <v xml:space="preserve"> </v>
      </c>
      <c r="K169" s="15">
        <f>IF(B169&lt;=Dane_kredytowe!F$9,0,K168+1)</f>
        <v>89</v>
      </c>
      <c r="L169" s="83">
        <f t="shared" si="132"/>
        <v>-7.4000000000000003E-3</v>
      </c>
      <c r="M169" s="84">
        <f>L169+Dane_kredytowe!F$12</f>
        <v>2.2599999999999999E-2</v>
      </c>
      <c r="N169" s="79">
        <f>MAX(Dane_kredytowe!F$17+SUM(AA$5:AA168)-SUM(X$5:X169)+SUM(W$5:W169),0)</f>
        <v>79565.619172191044</v>
      </c>
      <c r="O169" s="85">
        <f>MAX(Dane_kredytowe!F$8+SUM(V$5:V168)-SUM(S$5:S169)+SUM(R$5:R168),0)</f>
        <v>250904.72738960534</v>
      </c>
      <c r="P169" s="67">
        <f t="shared" si="122"/>
        <v>360</v>
      </c>
      <c r="Q169" s="127" t="str">
        <f>IF(AND(K169&gt;0,K169&lt;=Dane_kredytowe!F$16),"tak","nie")</f>
        <v>nie</v>
      </c>
      <c r="R169" s="69"/>
      <c r="S169" s="86">
        <f>IF(Dane_kredytowe!F$19=B169,O168+V168,_xlfn.XLOOKUP(B169,Dane_kredytowe!M$9:M$18,Dane_kredytowe!N$9:N$18,0))</f>
        <v>0</v>
      </c>
      <c r="T169" s="71">
        <f t="shared" si="133"/>
        <v>-472.53723658375674</v>
      </c>
      <c r="U169" s="72">
        <f>IF(Q169="tak",T169,IF(P169-SUM(AB$5:AB169)+1&gt;0,IF(Dane_kredytowe!F$9&lt;B169,IF(SUM(AB$5:AB169)-Dane_kredytowe!F$16+1&gt;0,PMT(M169/12,P169+1-SUM(AB$5:AB169),O169),T169),0),0))</f>
        <v>-1179.6465179686782</v>
      </c>
      <c r="V169" s="72">
        <f t="shared" si="155"/>
        <v>-707.10928138492136</v>
      </c>
      <c r="W169" s="19" t="str">
        <f t="shared" si="156"/>
        <v xml:space="preserve"> </v>
      </c>
      <c r="X169" s="19">
        <f t="shared" si="169"/>
        <v>0</v>
      </c>
      <c r="Y169" s="73">
        <f t="shared" si="134"/>
        <v>-149.84858277429313</v>
      </c>
      <c r="Z169" s="19">
        <f>IF(P169-SUM(AB$5:AB169)+1&gt;0,IF(Dane_kredytowe!F$9&lt;B169,IF(SUM(AB$5:AB169)-Dane_kredytowe!F$16+1&gt;0,PMT(M169/12,P169+1-SUM(AB$5:AB169),N169),Y169),0),0)</f>
        <v>-374.08344825943499</v>
      </c>
      <c r="AA169" s="19">
        <f t="shared" si="173"/>
        <v>-224.23486548514185</v>
      </c>
      <c r="AB169" s="20">
        <f>IF(AND(Dane_kredytowe!F$9&lt;B169,SUM(AB$5:AB168)&lt;P168),1," ")</f>
        <v>1</v>
      </c>
      <c r="AD169" s="75">
        <f>IF(OR(B169&lt;Dane_kredytowe!F$15,Dane_kredytowe!F$15=""),-F169+S169,0)</f>
        <v>0</v>
      </c>
      <c r="AE169" s="75">
        <f t="shared" si="135"/>
        <v>374.08344825943499</v>
      </c>
      <c r="AG169" s="22">
        <f>Dane_kredytowe!F$17-SUM(AI$5:AI168)+SUM(W$42:W169)-SUM(X$42:X169)</f>
        <v>71879.580000000045</v>
      </c>
      <c r="AH169" s="22">
        <f t="shared" si="136"/>
        <v>135.37</v>
      </c>
      <c r="AI169" s="22">
        <f t="shared" si="137"/>
        <v>264.26</v>
      </c>
      <c r="AJ169" s="22">
        <f t="shared" si="123"/>
        <v>399.63</v>
      </c>
      <c r="AK169" s="22">
        <f t="shared" si="138"/>
        <v>1589.05</v>
      </c>
      <c r="AL169" s="22">
        <f>Dane_kredytowe!F$8-SUM(AN$5:AN168)+SUM(R$42:R168)-SUM(S$42:S169)</f>
        <v>226666.9599999999</v>
      </c>
      <c r="AM169" s="22">
        <f t="shared" si="139"/>
        <v>426.89</v>
      </c>
      <c r="AN169" s="22">
        <f t="shared" si="140"/>
        <v>833.33</v>
      </c>
      <c r="AO169" s="22">
        <f t="shared" si="117"/>
        <v>1260.22</v>
      </c>
      <c r="AP169" s="22">
        <f t="shared" si="118"/>
        <v>328.82999999999993</v>
      </c>
      <c r="AR169" s="87">
        <f t="shared" si="141"/>
        <v>42248</v>
      </c>
      <c r="AS169" s="23">
        <f>AS$5+SUM(AV$5:AV168)-SUM(X$5:X169)+SUM(W$5:W169)</f>
        <v>116299.58625642225</v>
      </c>
      <c r="AT169" s="22">
        <f t="shared" si="142"/>
        <v>-219.03088744959521</v>
      </c>
      <c r="AU169" s="22">
        <f>IF(AB169=1,IF(Q169="tak",AT169,PMT(M169/12,P169+1-SUM(AB$5:AB169),AS169)),0)</f>
        <v>-546.79082134452506</v>
      </c>
      <c r="AV169" s="22">
        <f t="shared" si="119"/>
        <v>-327.75993389492987</v>
      </c>
      <c r="AW169" s="22">
        <f t="shared" si="143"/>
        <v>-2110.885965800539</v>
      </c>
      <c r="AY169" s="23">
        <f>AY$5+SUM(BA$5:BA168)+SUM(W$5:W168)-SUM(X$5:X168)</f>
        <v>105064.51143784184</v>
      </c>
      <c r="AZ169" s="23">
        <f t="shared" si="144"/>
        <v>-219.03088744959521</v>
      </c>
      <c r="BA169" s="23">
        <f t="shared" si="145"/>
        <v>-386.27</v>
      </c>
      <c r="BB169" s="23">
        <f t="shared" si="124"/>
        <v>-605.30088744959517</v>
      </c>
      <c r="BC169" s="23">
        <f t="shared" si="146"/>
        <v>-2336.7640759991623</v>
      </c>
      <c r="BE169" s="88">
        <f t="shared" si="147"/>
        <v>1.72E-2</v>
      </c>
      <c r="BF169" s="89">
        <f>BE169+Dane_kredytowe!F$12</f>
        <v>4.7199999999999999E-2</v>
      </c>
      <c r="BG169" s="23">
        <f>BG$5+SUM(BH$5:BH168)+SUM(R$5:R168)-SUM(S$5:S168)</f>
        <v>270646.17183946609</v>
      </c>
      <c r="BH169" s="22">
        <f t="shared" si="126"/>
        <v>-557.6786697112575</v>
      </c>
      <c r="BI169" s="22">
        <f t="shared" si="121"/>
        <v>-1064.5416092352332</v>
      </c>
      <c r="BJ169" s="22">
        <f>IF(U169&lt;0,PMT(BF169/12,Dane_kredytowe!F$13-SUM(AB$5:AB169)+1,BG169),0)</f>
        <v>-1622.2202789464907</v>
      </c>
      <c r="BL169" s="23">
        <f>BL$5+SUM(BN$5:BN168)+SUM(R$5:R168)-SUM(S$5:S168)</f>
        <v>226666.66666666663</v>
      </c>
      <c r="BM169" s="23">
        <f t="shared" si="129"/>
        <v>-891.55555555555532</v>
      </c>
      <c r="BN169" s="23">
        <f t="shared" si="148"/>
        <v>-833.33333333333314</v>
      </c>
      <c r="BO169" s="23">
        <f t="shared" si="130"/>
        <v>-1724.8888888888885</v>
      </c>
      <c r="BQ169" s="89">
        <f t="shared" si="149"/>
        <v>3.39E-2</v>
      </c>
      <c r="BR169" s="23">
        <f>BR$5+SUM(BS$5:BS168)+SUM(R$5:R168)-SUM(S$5:S168)+SUM(BV$5:BV168)</f>
        <v>307962.14013144205</v>
      </c>
      <c r="BS169" s="22">
        <f t="shared" si="163"/>
        <v>-753.90739079878495</v>
      </c>
      <c r="BT169" s="22">
        <f t="shared" si="164"/>
        <v>-869.99304587132383</v>
      </c>
      <c r="BU169" s="22">
        <f>IF(U169&lt;0,PMT(BQ169/12,Dane_kredytowe!F$13-SUM(AB$5:AB169)+1,BR169),0)</f>
        <v>-1623.9004366701088</v>
      </c>
      <c r="BV169" s="22">
        <f t="shared" si="157"/>
        <v>136.42681010439355</v>
      </c>
      <c r="BX169" s="23">
        <f>BX$5+SUM(BZ$5:BZ168)+SUM(R$5:R168)-SUM(S$5:S168)+SUM(CB$5,CB168)</f>
        <v>226481.16891558858</v>
      </c>
      <c r="BY169" s="22">
        <f t="shared" si="150"/>
        <v>-639.80930218653771</v>
      </c>
      <c r="BZ169" s="22">
        <f t="shared" si="151"/>
        <v>-832.65135630731095</v>
      </c>
      <c r="CA169" s="22">
        <f t="shared" si="165"/>
        <v>-1472.4606584938488</v>
      </c>
      <c r="CB169" s="22">
        <f t="shared" si="166"/>
        <v>-15.012968071866453</v>
      </c>
      <c r="CD169" s="22">
        <f>CD$5+SUM(CE$5:CE168)+SUM(R$5:R168)-SUM(S$5:S168)-SUM(CF$5:CF168)</f>
        <v>289891.38447912468</v>
      </c>
      <c r="CE169" s="22">
        <f t="shared" si="158"/>
        <v>639.80930218653771</v>
      </c>
      <c r="CF169" s="22">
        <f t="shared" si="152"/>
        <v>1487.4736265657152</v>
      </c>
      <c r="CG169" s="22">
        <f t="shared" si="159"/>
        <v>847.66432437917751</v>
      </c>
      <c r="CI169" s="89">
        <f t="shared" si="153"/>
        <v>0.4773</v>
      </c>
      <c r="CJ169" s="22">
        <f t="shared" si="154"/>
        <v>-709.97</v>
      </c>
      <c r="CK169" s="15">
        <f t="shared" si="160"/>
        <v>0</v>
      </c>
      <c r="CM169" s="22">
        <f t="shared" si="161"/>
        <v>-122101.85912910658</v>
      </c>
      <c r="CN169" s="15">
        <f t="shared" si="167"/>
        <v>-175.01266475171943</v>
      </c>
    </row>
    <row r="170" spans="1:92">
      <c r="A170" s="25"/>
      <c r="B170" s="80">
        <v>42278</v>
      </c>
      <c r="C170" s="81">
        <f t="shared" si="131"/>
        <v>3.9055</v>
      </c>
      <c r="D170" s="82">
        <f t="shared" si="162"/>
        <v>4.0226649999999999</v>
      </c>
      <c r="E170" s="73">
        <f t="shared" si="170"/>
        <v>-374.08344825943493</v>
      </c>
      <c r="F170" s="19">
        <f t="shared" si="171"/>
        <v>-1504.8123943925398</v>
      </c>
      <c r="G170" s="19">
        <f t="shared" si="174"/>
        <v>-1179.6465179686779</v>
      </c>
      <c r="H170" s="19">
        <f t="shared" si="172"/>
        <v>325.16587642386185</v>
      </c>
      <c r="I170" s="62"/>
      <c r="J170" s="15" t="str">
        <f t="shared" si="168"/>
        <v xml:space="preserve"> </v>
      </c>
      <c r="K170" s="15">
        <f>IF(B170&lt;=Dane_kredytowe!F$9,0,K169+1)</f>
        <v>90</v>
      </c>
      <c r="L170" s="83">
        <f t="shared" si="132"/>
        <v>-7.4000000000000003E-3</v>
      </c>
      <c r="M170" s="84">
        <f>L170+Dane_kredytowe!F$12</f>
        <v>2.2599999999999999E-2</v>
      </c>
      <c r="N170" s="79">
        <f>MAX(Dane_kredytowe!F$17+SUM(AA$5:AA169)-SUM(X$5:X170)+SUM(W$5:W170),0)</f>
        <v>79341.384306705906</v>
      </c>
      <c r="O170" s="85">
        <f>MAX(Dane_kredytowe!F$8+SUM(V$5:V169)-SUM(S$5:S170)+SUM(R$5:R169),0)</f>
        <v>250197.6181082204</v>
      </c>
      <c r="P170" s="67">
        <f t="shared" si="122"/>
        <v>360</v>
      </c>
      <c r="Q170" s="127" t="str">
        <f>IF(AND(K170&gt;0,K170&lt;=Dane_kredytowe!F$16),"tak","nie")</f>
        <v>nie</v>
      </c>
      <c r="R170" s="69"/>
      <c r="S170" s="86">
        <f>IF(Dane_kredytowe!F$19=B170,O169+V169,_xlfn.XLOOKUP(B170,Dane_kredytowe!M$9:M$18,Dane_kredytowe!N$9:N$18,0))</f>
        <v>0</v>
      </c>
      <c r="T170" s="71">
        <f t="shared" si="133"/>
        <v>-471.20551410381501</v>
      </c>
      <c r="U170" s="72">
        <f>IF(Q170="tak",T170,IF(P170-SUM(AB$5:AB170)+1&gt;0,IF(Dane_kredytowe!F$9&lt;B170,IF(SUM(AB$5:AB170)-Dane_kredytowe!F$16+1&gt;0,PMT(M170/12,P170+1-SUM(AB$5:AB170),O170),T170),0),0))</f>
        <v>-1179.6465179686779</v>
      </c>
      <c r="V170" s="72">
        <f t="shared" si="155"/>
        <v>-708.44100386486298</v>
      </c>
      <c r="W170" s="19" t="str">
        <f t="shared" si="156"/>
        <v xml:space="preserve"> </v>
      </c>
      <c r="X170" s="19">
        <f t="shared" si="169"/>
        <v>0</v>
      </c>
      <c r="Y170" s="73">
        <f t="shared" si="134"/>
        <v>-149.42627377762946</v>
      </c>
      <c r="Z170" s="19">
        <f>IF(P170-SUM(AB$5:AB170)+1&gt;0,IF(Dane_kredytowe!F$9&lt;B170,IF(SUM(AB$5:AB170)-Dane_kredytowe!F$16+1&gt;0,PMT(M170/12,P170+1-SUM(AB$5:AB170),N170),Y170),0),0)</f>
        <v>-374.08344825943493</v>
      </c>
      <c r="AA170" s="19">
        <f t="shared" si="173"/>
        <v>-224.65717448180547</v>
      </c>
      <c r="AB170" s="20">
        <f>IF(AND(Dane_kredytowe!F$9&lt;B170,SUM(AB$5:AB169)&lt;P169),1," ")</f>
        <v>1</v>
      </c>
      <c r="AD170" s="75">
        <f>IF(OR(B170&lt;Dane_kredytowe!F$15,Dane_kredytowe!F$15=""),-F170+S170,0)</f>
        <v>0</v>
      </c>
      <c r="AE170" s="75">
        <f t="shared" si="135"/>
        <v>374.08344825943493</v>
      </c>
      <c r="AG170" s="22">
        <f>Dane_kredytowe!F$17-SUM(AI$5:AI169)+SUM(W$42:W170)-SUM(X$42:X170)</f>
        <v>71615.320000000036</v>
      </c>
      <c r="AH170" s="22">
        <f t="shared" si="136"/>
        <v>134.88</v>
      </c>
      <c r="AI170" s="22">
        <f t="shared" si="137"/>
        <v>264.26</v>
      </c>
      <c r="AJ170" s="22">
        <f t="shared" si="123"/>
        <v>399.14</v>
      </c>
      <c r="AK170" s="22">
        <f t="shared" si="138"/>
        <v>1605.61</v>
      </c>
      <c r="AL170" s="22">
        <f>Dane_kredytowe!F$8-SUM(AN$5:AN169)+SUM(R$42:R169)-SUM(S$42:S170)</f>
        <v>225833.62999999989</v>
      </c>
      <c r="AM170" s="22">
        <f t="shared" si="139"/>
        <v>425.32</v>
      </c>
      <c r="AN170" s="22">
        <f t="shared" si="140"/>
        <v>833.33</v>
      </c>
      <c r="AO170" s="22">
        <f t="shared" ref="AO170:AO176" si="175">AN170+AM170</f>
        <v>1258.6500000000001</v>
      </c>
      <c r="AP170" s="22">
        <f t="shared" ref="AP170:AP176" si="176">AK170-AO170</f>
        <v>346.95999999999981</v>
      </c>
      <c r="AR170" s="87">
        <f t="shared" si="141"/>
        <v>42278</v>
      </c>
      <c r="AS170" s="23">
        <f>AS$5+SUM(AV$5:AV169)-SUM(X$5:X170)+SUM(W$5:W170)</f>
        <v>115971.82632252731</v>
      </c>
      <c r="AT170" s="22">
        <f t="shared" si="142"/>
        <v>-218.41360624075978</v>
      </c>
      <c r="AU170" s="22">
        <f>IF(AB170=1,IF(Q170="tak",AT170,PMT(M170/12,P170+1-SUM(AB$5:AB170),AS170)),0)</f>
        <v>-546.79082134452494</v>
      </c>
      <c r="AV170" s="22">
        <f t="shared" ref="AV170:AV202" si="177">AU170-AT170</f>
        <v>-328.37721510376514</v>
      </c>
      <c r="AW170" s="22">
        <f t="shared" si="143"/>
        <v>-2135.4915527610419</v>
      </c>
      <c r="AY170" s="23">
        <f>AY$5+SUM(BA$5:BA169)+SUM(W$5:W169)-SUM(X$5:X169)</f>
        <v>104678.24143784183</v>
      </c>
      <c r="AZ170" s="23">
        <f t="shared" si="144"/>
        <v>-218.41360624075978</v>
      </c>
      <c r="BA170" s="23">
        <f t="shared" si="145"/>
        <v>-386.27</v>
      </c>
      <c r="BB170" s="23">
        <f t="shared" si="124"/>
        <v>-604.68360624075979</v>
      </c>
      <c r="BC170" s="23">
        <f t="shared" si="146"/>
        <v>-2361.5918241732875</v>
      </c>
      <c r="BE170" s="88">
        <f t="shared" si="147"/>
        <v>1.7299999999999999E-2</v>
      </c>
      <c r="BF170" s="89">
        <f>BE170+Dane_kredytowe!F$12</f>
        <v>4.7299999999999995E-2</v>
      </c>
      <c r="BG170" s="23">
        <f>BG$5+SUM(BH$5:BH169)+SUM(R$5:R169)-SUM(S$5:S169)</f>
        <v>270088.4931697548</v>
      </c>
      <c r="BH170" s="22">
        <f t="shared" si="126"/>
        <v>-559.13559369288396</v>
      </c>
      <c r="BI170" s="22">
        <f t="shared" ref="BI170:BI176" si="178">IF(BJ170&lt;0,-BG170*BF170/12,0)</f>
        <v>-1064.5988105774502</v>
      </c>
      <c r="BJ170" s="22">
        <f>IF(U170&lt;0,PMT(BF170/12,Dane_kredytowe!F$13-SUM(AB$5:AB170)+1,BG170),0)</f>
        <v>-1623.7344042703342</v>
      </c>
      <c r="BL170" s="23">
        <f>BL$5+SUM(BN$5:BN169)+SUM(R$5:R169)-SUM(S$5:S169)</f>
        <v>225833.33333333331</v>
      </c>
      <c r="BM170" s="23">
        <f t="shared" si="129"/>
        <v>-890.15972222222206</v>
      </c>
      <c r="BN170" s="23">
        <f t="shared" si="148"/>
        <v>-833.33333333333326</v>
      </c>
      <c r="BO170" s="23">
        <f t="shared" ref="BO170:BO232" si="179">BN170+BM170</f>
        <v>-1723.4930555555552</v>
      </c>
      <c r="BQ170" s="89">
        <f t="shared" si="149"/>
        <v>3.4000000000000002E-2</v>
      </c>
      <c r="BR170" s="23">
        <f>BR$5+SUM(BS$5:BS169)+SUM(R$5:R169)-SUM(S$5:S169)+SUM(BV$5:BV169)</f>
        <v>307344.65955074766</v>
      </c>
      <c r="BS170" s="22">
        <f t="shared" si="163"/>
        <v>-755.41738319119725</v>
      </c>
      <c r="BT170" s="22">
        <f t="shared" si="164"/>
        <v>-870.80986872711844</v>
      </c>
      <c r="BU170" s="22">
        <f>IF(U170&lt;0,PMT(BQ170/12,Dane_kredytowe!F$13-SUM(AB$5:AB170)+1,BR170),0)</f>
        <v>-1626.2272519183157</v>
      </c>
      <c r="BV170" s="22">
        <f t="shared" si="157"/>
        <v>121.41485752577591</v>
      </c>
      <c r="BX170" s="23">
        <f>BX$5+SUM(BZ$5:BZ169)+SUM(R$5:R169)-SUM(S$5:S169)+SUM(CB$5,CB169)</f>
        <v>225658.80860280857</v>
      </c>
      <c r="BY170" s="22">
        <f t="shared" si="150"/>
        <v>-639.36662437462439</v>
      </c>
      <c r="BZ170" s="22">
        <f t="shared" si="151"/>
        <v>-832.68933063766997</v>
      </c>
      <c r="CA170" s="22">
        <f t="shared" si="165"/>
        <v>-1472.0559550122944</v>
      </c>
      <c r="CB170" s="22">
        <f t="shared" si="166"/>
        <v>-32.756439380245411</v>
      </c>
      <c r="CD170" s="22">
        <f>CD$5+SUM(CE$5:CE169)+SUM(R$5:R169)-SUM(S$5:S169)-SUM(CF$5:CF169)</f>
        <v>289043.7201547455</v>
      </c>
      <c r="CE170" s="22">
        <f t="shared" si="158"/>
        <v>639.36662437462439</v>
      </c>
      <c r="CF170" s="22">
        <f t="shared" si="152"/>
        <v>1504.8123943925398</v>
      </c>
      <c r="CG170" s="22">
        <f t="shared" si="159"/>
        <v>865.44577001791538</v>
      </c>
      <c r="CI170" s="89">
        <f t="shared" si="153"/>
        <v>0.47589999999999999</v>
      </c>
      <c r="CJ170" s="22">
        <f t="shared" si="154"/>
        <v>-716.14</v>
      </c>
      <c r="CK170" s="15">
        <f t="shared" si="160"/>
        <v>0</v>
      </c>
      <c r="CM170" s="22">
        <f t="shared" si="161"/>
        <v>-123606.67152349913</v>
      </c>
      <c r="CN170" s="15">
        <f t="shared" si="167"/>
        <v>-178.19961811304458</v>
      </c>
    </row>
    <row r="171" spans="1:92">
      <c r="A171" s="25"/>
      <c r="B171" s="80">
        <v>42309</v>
      </c>
      <c r="C171" s="81">
        <f t="shared" si="131"/>
        <v>3.9239000000000002</v>
      </c>
      <c r="D171" s="82">
        <f t="shared" si="162"/>
        <v>4.0416170000000005</v>
      </c>
      <c r="E171" s="73">
        <f t="shared" si="170"/>
        <v>-374.08344825943493</v>
      </c>
      <c r="F171" s="19">
        <f t="shared" si="171"/>
        <v>-1511.9020239039528</v>
      </c>
      <c r="G171" s="19">
        <f t="shared" si="174"/>
        <v>-1179.6465179686779</v>
      </c>
      <c r="H171" s="19">
        <f t="shared" si="172"/>
        <v>332.25550593527487</v>
      </c>
      <c r="I171" s="62"/>
      <c r="J171" s="15" t="str">
        <f t="shared" si="168"/>
        <v xml:space="preserve"> </v>
      </c>
      <c r="K171" s="15">
        <f>IF(B171&lt;=Dane_kredytowe!F$9,0,K170+1)</f>
        <v>91</v>
      </c>
      <c r="L171" s="83">
        <f t="shared" si="132"/>
        <v>-7.4000000000000003E-3</v>
      </c>
      <c r="M171" s="84">
        <f>L171+Dane_kredytowe!F$12</f>
        <v>2.2599999999999999E-2</v>
      </c>
      <c r="N171" s="79">
        <f>MAX(Dane_kredytowe!F$17+SUM(AA$5:AA170)-SUM(X$5:X171)+SUM(W$5:W171),0)</f>
        <v>79116.727132224099</v>
      </c>
      <c r="O171" s="85">
        <f>MAX(Dane_kredytowe!F$8+SUM(V$5:V170)-SUM(S$5:S171)+SUM(R$5:R170),0)</f>
        <v>249489.17710435553</v>
      </c>
      <c r="P171" s="67">
        <f t="shared" ref="P171:P234" si="180">P170</f>
        <v>360</v>
      </c>
      <c r="Q171" s="127" t="str">
        <f>IF(AND(K171&gt;0,K171&lt;=Dane_kredytowe!F$16),"tak","nie")</f>
        <v>nie</v>
      </c>
      <c r="R171" s="69"/>
      <c r="S171" s="86">
        <f>IF(Dane_kredytowe!F$19=B171,O170+V170,_xlfn.XLOOKUP(B171,Dane_kredytowe!M$9:M$18,Dane_kredytowe!N$9:N$18,0))</f>
        <v>0</v>
      </c>
      <c r="T171" s="71">
        <f t="shared" si="133"/>
        <v>-469.87128354653623</v>
      </c>
      <c r="U171" s="72">
        <f>IF(Q171="tak",T171,IF(P171-SUM(AB$5:AB171)+1&gt;0,IF(Dane_kredytowe!F$9&lt;B171,IF(SUM(AB$5:AB171)-Dane_kredytowe!F$16+1&gt;0,PMT(M171/12,P171+1-SUM(AB$5:AB171),O171),T171),0),0))</f>
        <v>-1179.6465179686779</v>
      </c>
      <c r="V171" s="72">
        <f t="shared" si="155"/>
        <v>-709.77523442214169</v>
      </c>
      <c r="W171" s="19" t="str">
        <f t="shared" si="156"/>
        <v xml:space="preserve"> </v>
      </c>
      <c r="X171" s="19">
        <f t="shared" si="169"/>
        <v>0</v>
      </c>
      <c r="Y171" s="73">
        <f t="shared" si="134"/>
        <v>-149.00316943235538</v>
      </c>
      <c r="Z171" s="19">
        <f>IF(P171-SUM(AB$5:AB171)+1&gt;0,IF(Dane_kredytowe!F$9&lt;B171,IF(SUM(AB$5:AB171)-Dane_kredytowe!F$16+1&gt;0,PMT(M171/12,P171+1-SUM(AB$5:AB171),N171),Y171),0),0)</f>
        <v>-374.08344825943493</v>
      </c>
      <c r="AA171" s="19">
        <f t="shared" si="173"/>
        <v>-225.08027882707955</v>
      </c>
      <c r="AB171" s="20">
        <f>IF(AND(Dane_kredytowe!F$9&lt;B171,SUM(AB$5:AB170)&lt;P170),1," ")</f>
        <v>1</v>
      </c>
      <c r="AD171" s="75">
        <f>IF(OR(B171&lt;Dane_kredytowe!F$15,Dane_kredytowe!F$15=""),-F171+S171,0)</f>
        <v>0</v>
      </c>
      <c r="AE171" s="75">
        <f t="shared" si="135"/>
        <v>374.08344825943493</v>
      </c>
      <c r="AG171" s="22">
        <f>Dane_kredytowe!F$17-SUM(AI$5:AI170)+SUM(W$42:W171)-SUM(X$42:X171)</f>
        <v>71351.060000000041</v>
      </c>
      <c r="AH171" s="22">
        <f t="shared" si="136"/>
        <v>134.38</v>
      </c>
      <c r="AI171" s="22">
        <f t="shared" si="137"/>
        <v>264.26</v>
      </c>
      <c r="AJ171" s="22">
        <f t="shared" ref="AJ171:AJ176" si="181">AI171+AH171</f>
        <v>398.64</v>
      </c>
      <c r="AK171" s="22">
        <f t="shared" si="138"/>
        <v>1611.15</v>
      </c>
      <c r="AL171" s="22">
        <f>Dane_kredytowe!F$8-SUM(AN$5:AN170)+SUM(R$42:R170)-SUM(S$42:S171)</f>
        <v>225000.29999999987</v>
      </c>
      <c r="AM171" s="22">
        <f t="shared" si="139"/>
        <v>423.75</v>
      </c>
      <c r="AN171" s="22">
        <f t="shared" si="140"/>
        <v>833.33</v>
      </c>
      <c r="AO171" s="22">
        <f t="shared" si="175"/>
        <v>1257.08</v>
      </c>
      <c r="AP171" s="22">
        <f t="shared" si="176"/>
        <v>354.07000000000016</v>
      </c>
      <c r="AR171" s="87">
        <f t="shared" si="141"/>
        <v>42309</v>
      </c>
      <c r="AS171" s="23">
        <f>AS$5+SUM(AV$5:AV170)-SUM(X$5:X171)+SUM(W$5:W171)</f>
        <v>115643.44910742354</v>
      </c>
      <c r="AT171" s="22">
        <f t="shared" si="142"/>
        <v>-217.79516248564767</v>
      </c>
      <c r="AU171" s="22">
        <f>IF(AB171=1,IF(Q171="tak",AT171,PMT(M171/12,P171+1-SUM(AB$5:AB171),AS171)),0)</f>
        <v>-546.79082134452494</v>
      </c>
      <c r="AV171" s="22">
        <f t="shared" si="177"/>
        <v>-328.99565885887728</v>
      </c>
      <c r="AW171" s="22">
        <f t="shared" si="143"/>
        <v>-2145.5525038737815</v>
      </c>
      <c r="AY171" s="23">
        <f>AY$5+SUM(BA$5:BA170)+SUM(W$5:W170)-SUM(X$5:X170)</f>
        <v>104291.97143784183</v>
      </c>
      <c r="AZ171" s="23">
        <f t="shared" si="144"/>
        <v>-217.79516248564767</v>
      </c>
      <c r="BA171" s="23">
        <f t="shared" si="145"/>
        <v>-386.27</v>
      </c>
      <c r="BB171" s="23">
        <f t="shared" si="124"/>
        <v>-604.06516248564765</v>
      </c>
      <c r="BC171" s="23">
        <f t="shared" si="146"/>
        <v>-2370.291291077433</v>
      </c>
      <c r="BE171" s="88">
        <f t="shared" si="147"/>
        <v>1.7299999999999999E-2</v>
      </c>
      <c r="BF171" s="89">
        <f>BE171+Dane_kredytowe!F$12</f>
        <v>4.7299999999999995E-2</v>
      </c>
      <c r="BG171" s="23">
        <f>BG$5+SUM(BH$5:BH170)+SUM(R$5:R170)-SUM(S$5:S170)</f>
        <v>269529.35757606191</v>
      </c>
      <c r="BH171" s="22">
        <f t="shared" si="126"/>
        <v>-561.33951982469034</v>
      </c>
      <c r="BI171" s="22">
        <f t="shared" si="178"/>
        <v>-1062.3948844456438</v>
      </c>
      <c r="BJ171" s="22">
        <f>IF(U171&lt;0,PMT(BF171/12,Dane_kredytowe!F$13-SUM(AB$5:AB171)+1,BG171),0)</f>
        <v>-1623.7344042703342</v>
      </c>
      <c r="BL171" s="23">
        <f>BL$5+SUM(BN$5:BN170)+SUM(R$5:R170)-SUM(S$5:S170)</f>
        <v>225000</v>
      </c>
      <c r="BM171" s="23">
        <f t="shared" si="129"/>
        <v>-886.87499999999989</v>
      </c>
      <c r="BN171" s="23">
        <f t="shared" si="148"/>
        <v>-833.33333333333337</v>
      </c>
      <c r="BO171" s="23">
        <f t="shared" si="179"/>
        <v>-1720.2083333333333</v>
      </c>
      <c r="BQ171" s="89">
        <f t="shared" si="149"/>
        <v>3.4000000000000002E-2</v>
      </c>
      <c r="BR171" s="23">
        <f>BR$5+SUM(BS$5:BS170)+SUM(R$5:R170)-SUM(S$5:S170)+SUM(BV$5:BV170)</f>
        <v>306710.65702508227</v>
      </c>
      <c r="BS171" s="22">
        <f t="shared" si="163"/>
        <v>-757.85773893923965</v>
      </c>
      <c r="BT171" s="22">
        <f t="shared" si="164"/>
        <v>-869.01352823773323</v>
      </c>
      <c r="BU171" s="22">
        <f>IF(U171&lt;0,PMT(BQ171/12,Dane_kredytowe!F$13-SUM(AB$5:AB171)+1,BR171),0)</f>
        <v>-1626.8712671769729</v>
      </c>
      <c r="BV171" s="22">
        <f t="shared" si="157"/>
        <v>114.96924327302008</v>
      </c>
      <c r="BX171" s="23">
        <f>BX$5+SUM(BZ$5:BZ170)+SUM(R$5:R170)-SUM(S$5:S170)+SUM(CB$5,CB170)</f>
        <v>224808.3758008625</v>
      </c>
      <c r="BY171" s="22">
        <f t="shared" si="150"/>
        <v>-636.9570647691105</v>
      </c>
      <c r="BZ171" s="22">
        <f t="shared" si="151"/>
        <v>-832.62361407726848</v>
      </c>
      <c r="CA171" s="22">
        <f t="shared" si="165"/>
        <v>-1469.580678846379</v>
      </c>
      <c r="CB171" s="22">
        <f t="shared" si="166"/>
        <v>-42.321345057573808</v>
      </c>
      <c r="CD171" s="22">
        <f>CD$5+SUM(CE$5:CE170)+SUM(R$5:R170)-SUM(S$5:S170)-SUM(CF$5:CF170)</f>
        <v>288178.27438472753</v>
      </c>
      <c r="CE171" s="22">
        <f t="shared" si="158"/>
        <v>636.9570647691105</v>
      </c>
      <c r="CF171" s="22">
        <f t="shared" si="152"/>
        <v>1511.9020239039528</v>
      </c>
      <c r="CG171" s="22">
        <f t="shared" si="159"/>
        <v>874.94495913484229</v>
      </c>
      <c r="CI171" s="89">
        <f t="shared" si="153"/>
        <v>0.4773</v>
      </c>
      <c r="CJ171" s="22">
        <f t="shared" si="154"/>
        <v>-721.63</v>
      </c>
      <c r="CK171" s="15">
        <f t="shared" si="160"/>
        <v>0</v>
      </c>
      <c r="CM171" s="22">
        <f t="shared" si="161"/>
        <v>-125118.57354740308</v>
      </c>
      <c r="CN171" s="15">
        <f t="shared" si="167"/>
        <v>-180.37927686417277</v>
      </c>
    </row>
    <row r="172" spans="1:92">
      <c r="A172" s="25"/>
      <c r="B172" s="80">
        <v>42339</v>
      </c>
      <c r="C172" s="81">
        <f t="shared" si="131"/>
        <v>3.9613</v>
      </c>
      <c r="D172" s="82">
        <f t="shared" si="162"/>
        <v>4.080139</v>
      </c>
      <c r="E172" s="73">
        <f t="shared" si="170"/>
        <v>-374.08344825943499</v>
      </c>
      <c r="F172" s="19">
        <f t="shared" si="171"/>
        <v>-1526.3124664978027</v>
      </c>
      <c r="G172" s="19">
        <f t="shared" si="174"/>
        <v>-1179.6465179686782</v>
      </c>
      <c r="H172" s="19">
        <f t="shared" si="172"/>
        <v>346.66594852912453</v>
      </c>
      <c r="I172" s="62"/>
      <c r="J172" s="15" t="str">
        <f t="shared" si="168"/>
        <v xml:space="preserve"> </v>
      </c>
      <c r="K172" s="15">
        <f>IF(B172&lt;=Dane_kredytowe!F$9,0,K171+1)</f>
        <v>92</v>
      </c>
      <c r="L172" s="83">
        <f t="shared" si="132"/>
        <v>-7.4000000000000003E-3</v>
      </c>
      <c r="M172" s="84">
        <f>L172+Dane_kredytowe!F$12</f>
        <v>2.2599999999999999E-2</v>
      </c>
      <c r="N172" s="79">
        <f>MAX(Dane_kredytowe!F$17+SUM(AA$5:AA171)-SUM(X$5:X172)+SUM(W$5:W172),0)</f>
        <v>78891.646853397018</v>
      </c>
      <c r="O172" s="85">
        <f>MAX(Dane_kredytowe!F$8+SUM(V$5:V171)-SUM(S$5:S172)+SUM(R$5:R171),0)</f>
        <v>248779.40186993341</v>
      </c>
      <c r="P172" s="67">
        <f t="shared" si="180"/>
        <v>360</v>
      </c>
      <c r="Q172" s="127" t="str">
        <f>IF(AND(K172&gt;0,K172&lt;=Dane_kredytowe!F$16),"tak","nie")</f>
        <v>nie</v>
      </c>
      <c r="R172" s="69"/>
      <c r="S172" s="86">
        <f>IF(Dane_kredytowe!F$19=B172,O171+V171,_xlfn.XLOOKUP(B172,Dane_kredytowe!M$9:M$18,Dane_kredytowe!N$9:N$18,0))</f>
        <v>0</v>
      </c>
      <c r="T172" s="71">
        <f t="shared" si="133"/>
        <v>-468.53454018837459</v>
      </c>
      <c r="U172" s="72">
        <f>IF(Q172="tak",T172,IF(P172-SUM(AB$5:AB172)+1&gt;0,IF(Dane_kredytowe!F$9&lt;B172,IF(SUM(AB$5:AB172)-Dane_kredytowe!F$16+1&gt;0,PMT(M172/12,P172+1-SUM(AB$5:AB172),O172),T172),0),0))</f>
        <v>-1179.6465179686782</v>
      </c>
      <c r="V172" s="72">
        <f t="shared" si="155"/>
        <v>-711.1119777803035</v>
      </c>
      <c r="W172" s="19" t="str">
        <f t="shared" si="156"/>
        <v xml:space="preserve"> </v>
      </c>
      <c r="X172" s="19">
        <f t="shared" si="169"/>
        <v>0</v>
      </c>
      <c r="Y172" s="73">
        <f t="shared" si="134"/>
        <v>-148.57926824056437</v>
      </c>
      <c r="Z172" s="19">
        <f>IF(P172-SUM(AB$5:AB172)+1&gt;0,IF(Dane_kredytowe!F$9&lt;B172,IF(SUM(AB$5:AB172)-Dane_kredytowe!F$16+1&gt;0,PMT(M172/12,P172+1-SUM(AB$5:AB172),N172),Y172),0),0)</f>
        <v>-374.08344825943499</v>
      </c>
      <c r="AA172" s="19">
        <f t="shared" si="173"/>
        <v>-225.50418001887061</v>
      </c>
      <c r="AB172" s="20">
        <f>IF(AND(Dane_kredytowe!F$9&lt;B172,SUM(AB$5:AB171)&lt;P171),1," ")</f>
        <v>1</v>
      </c>
      <c r="AD172" s="75">
        <f>IF(OR(B172&lt;Dane_kredytowe!F$15,Dane_kredytowe!F$15=""),-F172+S172,0)</f>
        <v>0</v>
      </c>
      <c r="AE172" s="75">
        <f t="shared" si="135"/>
        <v>374.08344825943499</v>
      </c>
      <c r="AG172" s="22">
        <f>Dane_kredytowe!F$17-SUM(AI$5:AI171)+SUM(W$42:W172)-SUM(X$42:X172)</f>
        <v>71086.800000000047</v>
      </c>
      <c r="AH172" s="22">
        <f t="shared" si="136"/>
        <v>133.88</v>
      </c>
      <c r="AI172" s="22">
        <f t="shared" si="137"/>
        <v>264.26</v>
      </c>
      <c r="AJ172" s="22">
        <f t="shared" si="181"/>
        <v>398.14</v>
      </c>
      <c r="AK172" s="22">
        <f t="shared" si="138"/>
        <v>1624.47</v>
      </c>
      <c r="AL172" s="22">
        <f>Dane_kredytowe!F$8-SUM(AN$5:AN171)+SUM(R$42:R171)-SUM(S$42:S172)</f>
        <v>224166.96999999988</v>
      </c>
      <c r="AM172" s="22">
        <f t="shared" si="139"/>
        <v>422.18</v>
      </c>
      <c r="AN172" s="22">
        <f t="shared" si="140"/>
        <v>833.33</v>
      </c>
      <c r="AO172" s="22">
        <f t="shared" si="175"/>
        <v>1255.51</v>
      </c>
      <c r="AP172" s="22">
        <f t="shared" si="176"/>
        <v>368.96000000000004</v>
      </c>
      <c r="AR172" s="87">
        <f t="shared" si="141"/>
        <v>42339</v>
      </c>
      <c r="AS172" s="23">
        <f>AS$5+SUM(AV$5:AV171)-SUM(X$5:X172)+SUM(W$5:W172)</f>
        <v>115314.45344856467</v>
      </c>
      <c r="AT172" s="22">
        <f t="shared" si="142"/>
        <v>-217.17555399479679</v>
      </c>
      <c r="AU172" s="22">
        <f>IF(AB172=1,IF(Q172="tak",AT172,PMT(M172/12,P172+1-SUM(AB$5:AB172),AS172)),0)</f>
        <v>-546.79082134452506</v>
      </c>
      <c r="AV172" s="22">
        <f t="shared" si="177"/>
        <v>-329.61526734972824</v>
      </c>
      <c r="AW172" s="22">
        <f t="shared" si="143"/>
        <v>-2166.0024805920671</v>
      </c>
      <c r="AY172" s="23">
        <f>AY$5+SUM(BA$5:BA171)+SUM(W$5:W171)-SUM(X$5:X171)</f>
        <v>103905.70143784184</v>
      </c>
      <c r="AZ172" s="23">
        <f t="shared" si="144"/>
        <v>-217.17555399479679</v>
      </c>
      <c r="BA172" s="23">
        <f t="shared" si="145"/>
        <v>-386.27</v>
      </c>
      <c r="BB172" s="23">
        <f t="shared" si="124"/>
        <v>-603.4455539947968</v>
      </c>
      <c r="BC172" s="23">
        <f t="shared" si="146"/>
        <v>-2390.4288730395888</v>
      </c>
      <c r="BE172" s="88">
        <f t="shared" si="147"/>
        <v>1.72E-2</v>
      </c>
      <c r="BF172" s="89">
        <f>BE172+Dane_kredytowe!F$12</f>
        <v>4.7199999999999999E-2</v>
      </c>
      <c r="BG172" s="23">
        <f>BG$5+SUM(BH$5:BH171)+SUM(R$5:R171)-SUM(S$5:S171)</f>
        <v>268968.01805623726</v>
      </c>
      <c r="BH172" s="22">
        <f t="shared" si="126"/>
        <v>-564.28828276758964</v>
      </c>
      <c r="BI172" s="22">
        <f t="shared" si="178"/>
        <v>-1057.9408710211999</v>
      </c>
      <c r="BJ172" s="22">
        <f>IF(U172&lt;0,PMT(BF172/12,Dane_kredytowe!F$13-SUM(AB$5:AB172)+1,BG172),0)</f>
        <v>-1622.2291537887895</v>
      </c>
      <c r="BL172" s="23">
        <f>BL$5+SUM(BN$5:BN171)+SUM(R$5:R171)-SUM(S$5:S171)</f>
        <v>224166.66666666666</v>
      </c>
      <c r="BM172" s="23">
        <f t="shared" si="129"/>
        <v>-881.72222222222217</v>
      </c>
      <c r="BN172" s="23">
        <f t="shared" si="148"/>
        <v>-833.33333333333326</v>
      </c>
      <c r="BO172" s="23">
        <f t="shared" si="179"/>
        <v>-1715.0555555555554</v>
      </c>
      <c r="BQ172" s="89">
        <f t="shared" si="149"/>
        <v>3.39E-2</v>
      </c>
      <c r="BR172" s="23">
        <f>BR$5+SUM(BS$5:BS171)+SUM(R$5:R171)-SUM(S$5:S171)+SUM(BV$5:BV171)</f>
        <v>306067.76852941606</v>
      </c>
      <c r="BS172" s="22">
        <f t="shared" si="163"/>
        <v>-761.24439483527465</v>
      </c>
      <c r="BT172" s="22">
        <f t="shared" si="164"/>
        <v>-864.64144609560037</v>
      </c>
      <c r="BU172" s="22">
        <f>IF(U172&lt;0,PMT(BQ172/12,Dane_kredytowe!F$13-SUM(AB$5:AB172)+1,BR172),0)</f>
        <v>-1625.885840930875</v>
      </c>
      <c r="BV172" s="22">
        <f t="shared" si="157"/>
        <v>99.573374433072331</v>
      </c>
      <c r="BX172" s="23">
        <f>BX$5+SUM(BZ$5:BZ171)+SUM(R$5:R171)-SUM(S$5:S171)+SUM(CB$5,CB171)</f>
        <v>223966.18728110791</v>
      </c>
      <c r="BY172" s="22">
        <f t="shared" si="150"/>
        <v>-632.70447906912989</v>
      </c>
      <c r="BZ172" s="22">
        <f t="shared" si="151"/>
        <v>-832.58805680709258</v>
      </c>
      <c r="CA172" s="22">
        <f t="shared" si="165"/>
        <v>-1465.2925358762225</v>
      </c>
      <c r="CB172" s="22">
        <f t="shared" si="166"/>
        <v>-61.019930621580215</v>
      </c>
      <c r="CD172" s="22">
        <f>CD$5+SUM(CE$5:CE171)+SUM(R$5:R171)-SUM(S$5:S171)-SUM(CF$5:CF171)</f>
        <v>287303.32942559267</v>
      </c>
      <c r="CE172" s="22">
        <f t="shared" si="158"/>
        <v>632.70447906912989</v>
      </c>
      <c r="CF172" s="22">
        <f t="shared" si="152"/>
        <v>1526.3124664978027</v>
      </c>
      <c r="CG172" s="22">
        <f t="shared" si="159"/>
        <v>893.6079874286728</v>
      </c>
      <c r="CI172" s="89">
        <f t="shared" si="153"/>
        <v>0.4803</v>
      </c>
      <c r="CJ172" s="22">
        <f t="shared" si="154"/>
        <v>-733.09</v>
      </c>
      <c r="CK172" s="15">
        <f t="shared" si="160"/>
        <v>0</v>
      </c>
      <c r="CM172" s="22">
        <f t="shared" si="161"/>
        <v>-126644.88601390089</v>
      </c>
      <c r="CN172" s="15">
        <f t="shared" si="167"/>
        <v>-181.52433661992461</v>
      </c>
    </row>
    <row r="173" spans="1:92">
      <c r="A173" s="25">
        <v>2016</v>
      </c>
      <c r="B173" s="80">
        <v>42370</v>
      </c>
      <c r="C173" s="81">
        <f t="shared" si="131"/>
        <v>4.0175999999999998</v>
      </c>
      <c r="D173" s="82">
        <f t="shared" si="162"/>
        <v>4.138128</v>
      </c>
      <c r="E173" s="73">
        <f t="shared" si="170"/>
        <v>-374.08344825943504</v>
      </c>
      <c r="F173" s="19">
        <f t="shared" si="171"/>
        <v>-1548.0051915789195</v>
      </c>
      <c r="G173" s="19">
        <f t="shared" si="174"/>
        <v>-1179.6465179686782</v>
      </c>
      <c r="H173" s="19">
        <f t="shared" si="172"/>
        <v>368.35867361024134</v>
      </c>
      <c r="I173" s="62"/>
      <c r="J173" s="15" t="str">
        <f t="shared" si="168"/>
        <v xml:space="preserve"> </v>
      </c>
      <c r="K173" s="15">
        <f>IF(B173&lt;=Dane_kredytowe!F$9,0,K172+1)</f>
        <v>93</v>
      </c>
      <c r="L173" s="83">
        <f t="shared" si="132"/>
        <v>-7.4000000000000003E-3</v>
      </c>
      <c r="M173" s="84">
        <f>L173+Dane_kredytowe!F$12</f>
        <v>2.2599999999999999E-2</v>
      </c>
      <c r="N173" s="79">
        <f>MAX(Dane_kredytowe!F$17+SUM(AA$5:AA172)-SUM(X$5:X173)+SUM(W$5:W173),0)</f>
        <v>78666.142673378155</v>
      </c>
      <c r="O173" s="85">
        <f>MAX(Dane_kredytowe!F$8+SUM(V$5:V172)-SUM(S$5:S173)+SUM(R$5:R172),0)</f>
        <v>248068.28989215312</v>
      </c>
      <c r="P173" s="67">
        <f t="shared" si="180"/>
        <v>360</v>
      </c>
      <c r="Q173" s="127" t="str">
        <f>IF(AND(K173&gt;0,K173&lt;=Dane_kredytowe!F$16),"tak","nie")</f>
        <v>nie</v>
      </c>
      <c r="R173" s="69"/>
      <c r="S173" s="86">
        <f>IF(Dane_kredytowe!F$19=B173,O172+V172,_xlfn.XLOOKUP(B173,Dane_kredytowe!M$9:M$18,Dane_kredytowe!N$9:N$18,0))</f>
        <v>0</v>
      </c>
      <c r="T173" s="71">
        <f t="shared" si="133"/>
        <v>-467.19527929688837</v>
      </c>
      <c r="U173" s="72">
        <f>IF(Q173="tak",T173,IF(P173-SUM(AB$5:AB173)+1&gt;0,IF(Dane_kredytowe!F$9&lt;B173,IF(SUM(AB$5:AB173)-Dane_kredytowe!F$16+1&gt;0,PMT(M173/12,P173+1-SUM(AB$5:AB173),O173),T173),0),0))</f>
        <v>-1179.6465179686782</v>
      </c>
      <c r="V173" s="72">
        <f t="shared" si="155"/>
        <v>-712.45123867178972</v>
      </c>
      <c r="W173" s="19" t="str">
        <f t="shared" si="156"/>
        <v xml:space="preserve"> </v>
      </c>
      <c r="X173" s="19">
        <f t="shared" si="169"/>
        <v>0</v>
      </c>
      <c r="Y173" s="73">
        <f t="shared" si="134"/>
        <v>-148.15456870152886</v>
      </c>
      <c r="Z173" s="19">
        <f>IF(P173-SUM(AB$5:AB173)+1&gt;0,IF(Dane_kredytowe!F$9&lt;B173,IF(SUM(AB$5:AB173)-Dane_kredytowe!F$16+1&gt;0,PMT(M173/12,P173+1-SUM(AB$5:AB173),N173),Y173),0),0)</f>
        <v>-374.08344825943504</v>
      </c>
      <c r="AA173" s="19">
        <f t="shared" si="173"/>
        <v>-225.92887955790619</v>
      </c>
      <c r="AB173" s="20">
        <f>IF(AND(Dane_kredytowe!F$9&lt;B173,SUM(AB$5:AB172)&lt;P172),1," ")</f>
        <v>1</v>
      </c>
      <c r="AD173" s="75">
        <f>IF(OR(B173&lt;Dane_kredytowe!F$15,Dane_kredytowe!F$15=""),-F173+S173,0)</f>
        <v>0</v>
      </c>
      <c r="AE173" s="75">
        <f t="shared" si="135"/>
        <v>374.08344825943504</v>
      </c>
      <c r="AG173" s="22">
        <f>Dane_kredytowe!F$17-SUM(AI$5:AI172)+SUM(W$42:W173)-SUM(X$42:X173)</f>
        <v>70822.540000000037</v>
      </c>
      <c r="AH173" s="22">
        <f t="shared" si="136"/>
        <v>133.38</v>
      </c>
      <c r="AI173" s="22">
        <f t="shared" si="137"/>
        <v>264.26</v>
      </c>
      <c r="AJ173" s="22">
        <f t="shared" si="181"/>
        <v>397.64</v>
      </c>
      <c r="AK173" s="22">
        <f t="shared" si="138"/>
        <v>1645.49</v>
      </c>
      <c r="AL173" s="22">
        <f>Dane_kredytowe!F$8-SUM(AN$5:AN172)+SUM(R$42:R172)-SUM(S$42:S173)</f>
        <v>223333.6399999999</v>
      </c>
      <c r="AM173" s="22">
        <f t="shared" si="139"/>
        <v>420.61</v>
      </c>
      <c r="AN173" s="22">
        <f t="shared" si="140"/>
        <v>833.33</v>
      </c>
      <c r="AO173" s="22">
        <f t="shared" si="175"/>
        <v>1253.94</v>
      </c>
      <c r="AP173" s="22">
        <f t="shared" si="176"/>
        <v>391.54999999999995</v>
      </c>
      <c r="AR173" s="87">
        <f t="shared" si="141"/>
        <v>42370</v>
      </c>
      <c r="AS173" s="23">
        <f>AS$5+SUM(AV$5:AV172)-SUM(X$5:X173)+SUM(W$5:W173)</f>
        <v>114984.83818121495</v>
      </c>
      <c r="AT173" s="22">
        <f t="shared" si="142"/>
        <v>-216.55477857462145</v>
      </c>
      <c r="AU173" s="22">
        <f>IF(AB173=1,IF(Q173="tak",AT173,PMT(M173/12,P173+1-SUM(AB$5:AB173),AS173)),0)</f>
        <v>-546.79082134452506</v>
      </c>
      <c r="AV173" s="22">
        <f t="shared" si="177"/>
        <v>-330.23604276990363</v>
      </c>
      <c r="AW173" s="22">
        <f t="shared" si="143"/>
        <v>-2196.7868038337638</v>
      </c>
      <c r="AY173" s="23">
        <f>AY$5+SUM(BA$5:BA172)+SUM(W$5:W172)-SUM(X$5:X172)</f>
        <v>103519.43143784185</v>
      </c>
      <c r="AZ173" s="23">
        <f t="shared" si="144"/>
        <v>-216.55477857462145</v>
      </c>
      <c r="BA173" s="23">
        <f t="shared" si="145"/>
        <v>-386.27</v>
      </c>
      <c r="BB173" s="23">
        <f t="shared" si="124"/>
        <v>-602.8247785746214</v>
      </c>
      <c r="BC173" s="23">
        <f t="shared" si="146"/>
        <v>-2421.908830401399</v>
      </c>
      <c r="BE173" s="88">
        <f t="shared" si="147"/>
        <v>1.7100000000000001E-2</v>
      </c>
      <c r="BF173" s="89">
        <f>BE173+Dane_kredytowe!F$12</f>
        <v>4.7100000000000003E-2</v>
      </c>
      <c r="BG173" s="23">
        <f>BG$5+SUM(BH$5:BH172)+SUM(R$5:R172)-SUM(S$5:S172)</f>
        <v>268403.72977346962</v>
      </c>
      <c r="BH173" s="22">
        <f t="shared" si="126"/>
        <v>-567.24445912178794</v>
      </c>
      <c r="BI173" s="22">
        <f t="shared" si="178"/>
        <v>-1053.4846393608684</v>
      </c>
      <c r="BJ173" s="22">
        <f>IF(U173&lt;0,PMT(BF173/12,Dane_kredytowe!F$13-SUM(AB$5:AB173)+1,BG173),0)</f>
        <v>-1620.7290984826564</v>
      </c>
      <c r="BL173" s="23">
        <f>BL$5+SUM(BN$5:BN172)+SUM(R$5:R172)-SUM(S$5:S172)</f>
        <v>223333.33333333331</v>
      </c>
      <c r="BM173" s="23">
        <f t="shared" si="129"/>
        <v>-876.58333333333337</v>
      </c>
      <c r="BN173" s="23">
        <f t="shared" si="148"/>
        <v>-833.33333333333326</v>
      </c>
      <c r="BO173" s="23">
        <f t="shared" si="179"/>
        <v>-1709.9166666666665</v>
      </c>
      <c r="BQ173" s="89">
        <f t="shared" si="149"/>
        <v>3.3799999999999997E-2</v>
      </c>
      <c r="BR173" s="23">
        <f>BR$5+SUM(BS$5:BS172)+SUM(R$5:R172)-SUM(S$5:S172)+SUM(BV$5:BV172)</f>
        <v>305406.09750901384</v>
      </c>
      <c r="BS173" s="22">
        <f t="shared" si="163"/>
        <v>-764.59762998305609</v>
      </c>
      <c r="BT173" s="22">
        <f t="shared" si="164"/>
        <v>-860.22717465038886</v>
      </c>
      <c r="BU173" s="22">
        <f>IF(U173&lt;0,PMT(BQ173/12,Dane_kredytowe!F$13-SUM(AB$5:AB173)+1,BR173),0)</f>
        <v>-1624.824804633445</v>
      </c>
      <c r="BV173" s="22">
        <f t="shared" si="157"/>
        <v>76.819613054525462</v>
      </c>
      <c r="BX173" s="23">
        <f>BX$5+SUM(BZ$5:BZ172)+SUM(R$5:R172)-SUM(S$5:S172)+SUM(CB$5,CB172)</f>
        <v>223114.90063873681</v>
      </c>
      <c r="BY173" s="22">
        <f t="shared" si="150"/>
        <v>-628.44030346577529</v>
      </c>
      <c r="BZ173" s="22">
        <f t="shared" si="151"/>
        <v>-832.51828596543589</v>
      </c>
      <c r="CA173" s="22">
        <f t="shared" si="165"/>
        <v>-1460.9585894312113</v>
      </c>
      <c r="CB173" s="22">
        <f t="shared" si="166"/>
        <v>-87.046602147708199</v>
      </c>
      <c r="CD173" s="22">
        <f>CD$5+SUM(CE$5:CE172)+SUM(R$5:R172)-SUM(S$5:S172)-SUM(CF$5:CF172)</f>
        <v>286409.72143816401</v>
      </c>
      <c r="CE173" s="22">
        <f t="shared" si="158"/>
        <v>628.44030346577529</v>
      </c>
      <c r="CF173" s="22">
        <f t="shared" si="152"/>
        <v>1548.0051915789195</v>
      </c>
      <c r="CG173" s="22">
        <f t="shared" si="159"/>
        <v>919.56488811314421</v>
      </c>
      <c r="CI173" s="89">
        <f t="shared" si="153"/>
        <v>0.48770000000000002</v>
      </c>
      <c r="CJ173" s="22">
        <f t="shared" si="154"/>
        <v>-754.96</v>
      </c>
      <c r="CK173" s="15">
        <f t="shared" si="160"/>
        <v>0</v>
      </c>
      <c r="CM173" s="22">
        <f t="shared" si="161"/>
        <v>-128192.89120547981</v>
      </c>
      <c r="CN173" s="15">
        <f t="shared" si="167"/>
        <v>-182.67486996780875</v>
      </c>
    </row>
    <row r="174" spans="1:92">
      <c r="A174" s="25"/>
      <c r="B174" s="80">
        <v>42401</v>
      </c>
      <c r="C174" s="81">
        <f t="shared" si="131"/>
        <v>3.9895</v>
      </c>
      <c r="D174" s="82">
        <f t="shared" si="162"/>
        <v>4.1091850000000001</v>
      </c>
      <c r="E174" s="73">
        <f t="shared" si="170"/>
        <v>-374.0834482594351</v>
      </c>
      <c r="F174" s="19">
        <f t="shared" si="171"/>
        <v>-1537.1780943359468</v>
      </c>
      <c r="G174" s="19">
        <f t="shared" si="174"/>
        <v>-1179.6465179686784</v>
      </c>
      <c r="H174" s="19">
        <f t="shared" si="172"/>
        <v>357.53157636726837</v>
      </c>
      <c r="I174" s="62"/>
      <c r="K174" s="15">
        <f>IF(B174&lt;=Dane_kredytowe!F$9,0,K173+1)</f>
        <v>94</v>
      </c>
      <c r="L174" s="83">
        <f t="shared" si="132"/>
        <v>-7.4000000000000003E-3</v>
      </c>
      <c r="M174" s="84">
        <f>L174+Dane_kredytowe!F$12</f>
        <v>2.2599999999999999E-2</v>
      </c>
      <c r="N174" s="79">
        <f>MAX(Dane_kredytowe!F$17+SUM(AA$5:AA173)-SUM(X$5:X174)+SUM(W$5:W174),0)</f>
        <v>78440.21379382025</v>
      </c>
      <c r="O174" s="85">
        <f>MAX(Dane_kredytowe!F$8+SUM(V$5:V173)-SUM(S$5:S174)+SUM(R$5:R173),0)</f>
        <v>247355.8386534813</v>
      </c>
      <c r="P174" s="67">
        <f t="shared" si="180"/>
        <v>360</v>
      </c>
      <c r="Q174" s="127" t="str">
        <f>IF(AND(K174&gt;0,K174&lt;=Dane_kredytowe!F$16),"tak","nie")</f>
        <v>nie</v>
      </c>
      <c r="R174" s="69"/>
      <c r="S174" s="86">
        <f>IF(Dane_kredytowe!F$19=B174,O173+V173,_xlfn.XLOOKUP(B174,Dane_kredytowe!M$9:M$18,Dane_kredytowe!N$9:N$18,0))</f>
        <v>0</v>
      </c>
      <c r="T174" s="71">
        <f t="shared" si="133"/>
        <v>-465.85349613072304</v>
      </c>
      <c r="U174" s="72">
        <f>IF(Q174="tak",T174,IF(P174-SUM(AB$5:AB174)+1&gt;0,IF(Dane_kredytowe!F$9&lt;B174,IF(SUM(AB$5:AB174)-Dane_kredytowe!F$16+1&gt;0,PMT(M174/12,P174+1-SUM(AB$5:AB174),O174),T174),0),0))</f>
        <v>-1179.6465179686784</v>
      </c>
      <c r="V174" s="72">
        <f t="shared" si="155"/>
        <v>-713.79302183795539</v>
      </c>
      <c r="W174" s="19" t="str">
        <f t="shared" si="156"/>
        <v xml:space="preserve"> </v>
      </c>
      <c r="X174" s="19">
        <f t="shared" si="169"/>
        <v>0</v>
      </c>
      <c r="Y174" s="73">
        <f t="shared" si="134"/>
        <v>-147.72906931169479</v>
      </c>
      <c r="Z174" s="19">
        <f>IF(P174-SUM(AB$5:AB174)+1&gt;0,IF(Dane_kredytowe!F$9&lt;B174,IF(SUM(AB$5:AB174)-Dane_kredytowe!F$16+1&gt;0,PMT(M174/12,P174+1-SUM(AB$5:AB174),N174),Y174),0),0)</f>
        <v>-374.0834482594351</v>
      </c>
      <c r="AA174" s="19">
        <f t="shared" si="173"/>
        <v>-226.35437894774032</v>
      </c>
      <c r="AB174" s="20">
        <f>IF(AND(Dane_kredytowe!F$9&lt;B174,SUM(AB$5:AB173)&lt;P173),1," ")</f>
        <v>1</v>
      </c>
      <c r="AD174" s="75">
        <f>IF(OR(B174&lt;Dane_kredytowe!F$15,Dane_kredytowe!F$15=""),-F174+S174,0)</f>
        <v>0</v>
      </c>
      <c r="AE174" s="75">
        <f t="shared" si="135"/>
        <v>374.0834482594351</v>
      </c>
      <c r="AG174" s="22">
        <f>Dane_kredytowe!F$17-SUM(AI$5:AI173)+SUM(W$42:W174)-SUM(X$42:X174)</f>
        <v>70558.280000000042</v>
      </c>
      <c r="AH174" s="22">
        <f t="shared" si="136"/>
        <v>132.88</v>
      </c>
      <c r="AI174" s="22">
        <f t="shared" si="137"/>
        <v>264.26</v>
      </c>
      <c r="AJ174" s="22">
        <f t="shared" si="181"/>
        <v>397.14</v>
      </c>
      <c r="AK174" s="22">
        <f t="shared" si="138"/>
        <v>1631.92</v>
      </c>
      <c r="AL174" s="22">
        <f>Dane_kredytowe!F$8-SUM(AN$5:AN173)+SUM(R$42:R173)-SUM(S$42:S174)</f>
        <v>222500.30999999988</v>
      </c>
      <c r="AM174" s="22">
        <f t="shared" si="139"/>
        <v>419.04</v>
      </c>
      <c r="AN174" s="22">
        <f t="shared" si="140"/>
        <v>833.33</v>
      </c>
      <c r="AO174" s="22">
        <f t="shared" si="175"/>
        <v>1252.3700000000001</v>
      </c>
      <c r="AP174" s="22">
        <f t="shared" si="176"/>
        <v>379.54999999999995</v>
      </c>
      <c r="AR174" s="87">
        <f t="shared" si="141"/>
        <v>42401</v>
      </c>
      <c r="AS174" s="23">
        <f>AS$5+SUM(AV$5:AV173)-SUM(X$5:X174)+SUM(W$5:W174)</f>
        <v>114654.60213844504</v>
      </c>
      <c r="AT174" s="22">
        <f t="shared" si="142"/>
        <v>-215.93283402740482</v>
      </c>
      <c r="AU174" s="22">
        <f>IF(AB174=1,IF(Q174="tak",AT174,PMT(M174/12,P174+1-SUM(AB$5:AB174),AS174)),0)</f>
        <v>-546.79082134452517</v>
      </c>
      <c r="AV174" s="22">
        <f t="shared" si="177"/>
        <v>-330.85798731712032</v>
      </c>
      <c r="AW174" s="22">
        <f t="shared" si="143"/>
        <v>-2181.4219817539833</v>
      </c>
      <c r="AY174" s="23">
        <f>AY$5+SUM(BA$5:BA173)+SUM(W$5:W173)-SUM(X$5:X173)</f>
        <v>103133.16143784185</v>
      </c>
      <c r="AZ174" s="23">
        <f t="shared" si="144"/>
        <v>-215.93283402740482</v>
      </c>
      <c r="BA174" s="23">
        <f t="shared" si="145"/>
        <v>-386.27</v>
      </c>
      <c r="BB174" s="23">
        <f t="shared" si="124"/>
        <v>-602.20283402740483</v>
      </c>
      <c r="BC174" s="23">
        <f t="shared" si="146"/>
        <v>-2402.4882063523314</v>
      </c>
      <c r="BE174" s="88">
        <f t="shared" si="147"/>
        <v>1.6899999999999998E-2</v>
      </c>
      <c r="BF174" s="89">
        <f>BE174+Dane_kredytowe!F$12</f>
        <v>4.6899999999999997E-2</v>
      </c>
      <c r="BG174" s="23">
        <f>BG$5+SUM(BH$5:BH173)+SUM(R$5:R173)-SUM(S$5:S173)</f>
        <v>267836.48531434784</v>
      </c>
      <c r="BH174" s="22">
        <f t="shared" si="126"/>
        <v>-570.94586329843969</v>
      </c>
      <c r="BI174" s="22">
        <f t="shared" si="178"/>
        <v>-1046.7942634369094</v>
      </c>
      <c r="BJ174" s="22">
        <f>IF(U174&lt;0,PMT(BF174/12,Dane_kredytowe!F$13-SUM(AB$5:AB174)+1,BG174),0)</f>
        <v>-1617.7401267353491</v>
      </c>
      <c r="BL174" s="23">
        <f>BL$5+SUM(BN$5:BN173)+SUM(R$5:R173)-SUM(S$5:S173)</f>
        <v>222500</v>
      </c>
      <c r="BM174" s="23">
        <f t="shared" si="129"/>
        <v>-869.60416666666663</v>
      </c>
      <c r="BN174" s="23">
        <f t="shared" si="148"/>
        <v>-833.33333333333337</v>
      </c>
      <c r="BO174" s="23">
        <f t="shared" si="179"/>
        <v>-1702.9375</v>
      </c>
      <c r="BQ174" s="89">
        <f t="shared" si="149"/>
        <v>3.3599999999999998E-2</v>
      </c>
      <c r="BR174" s="23">
        <f>BR$5+SUM(BS$5:BS173)+SUM(R$5:R173)-SUM(S$5:S173)+SUM(BV$5:BV173)</f>
        <v>304718.31949208531</v>
      </c>
      <c r="BS174" s="22">
        <f t="shared" si="163"/>
        <v>-768.85266299872535</v>
      </c>
      <c r="BT174" s="22">
        <f t="shared" si="164"/>
        <v>-853.21129457783888</v>
      </c>
      <c r="BU174" s="22">
        <f>IF(U174&lt;0,PMT(BQ174/12,Dane_kredytowe!F$13-SUM(AB$5:AB174)+1,BR174),0)</f>
        <v>-1622.0639575765642</v>
      </c>
      <c r="BV174" s="22">
        <f t="shared" si="157"/>
        <v>84.885863240617482</v>
      </c>
      <c r="BX174" s="23">
        <f>BX$5+SUM(BZ$5:BZ173)+SUM(R$5:R173)-SUM(S$5:S173)+SUM(CB$5,CB173)</f>
        <v>222256.35568124524</v>
      </c>
      <c r="BY174" s="22">
        <f t="shared" si="150"/>
        <v>-622.31779590748658</v>
      </c>
      <c r="BZ174" s="22">
        <f t="shared" si="151"/>
        <v>-832.42080779492596</v>
      </c>
      <c r="CA174" s="22">
        <f t="shared" si="165"/>
        <v>-1454.7386037024125</v>
      </c>
      <c r="CB174" s="22">
        <f t="shared" si="166"/>
        <v>-82.439490633534206</v>
      </c>
      <c r="CD174" s="22">
        <f>CD$5+SUM(CE$5:CE173)+SUM(R$5:R173)-SUM(S$5:S173)-SUM(CF$5:CF173)</f>
        <v>285490.15655005089</v>
      </c>
      <c r="CE174" s="22">
        <f t="shared" si="158"/>
        <v>622.31779590748658</v>
      </c>
      <c r="CF174" s="22">
        <f t="shared" si="152"/>
        <v>1537.1780943359468</v>
      </c>
      <c r="CG174" s="22">
        <f t="shared" si="159"/>
        <v>914.86029842846017</v>
      </c>
      <c r="CI174" s="89">
        <f t="shared" si="153"/>
        <v>0.48920000000000002</v>
      </c>
      <c r="CJ174" s="22">
        <f t="shared" si="154"/>
        <v>-751.99</v>
      </c>
      <c r="CK174" s="15">
        <f t="shared" si="160"/>
        <v>0</v>
      </c>
      <c r="CM174" s="22">
        <f t="shared" si="161"/>
        <v>-129730.06929981576</v>
      </c>
      <c r="CN174" s="15">
        <f t="shared" si="167"/>
        <v>-182.70318093057384</v>
      </c>
    </row>
    <row r="175" spans="1:92">
      <c r="A175" s="25"/>
      <c r="B175" s="80">
        <v>42430</v>
      </c>
      <c r="C175" s="81">
        <f t="shared" si="131"/>
        <v>3.9310999999999998</v>
      </c>
      <c r="D175" s="82">
        <f t="shared" si="162"/>
        <v>4.0490329999999997</v>
      </c>
      <c r="E175" s="73">
        <f t="shared" si="170"/>
        <v>-374.08344825943499</v>
      </c>
      <c r="F175" s="19">
        <f t="shared" si="171"/>
        <v>-1514.6762267562447</v>
      </c>
      <c r="G175" s="19">
        <f t="shared" si="174"/>
        <v>-1179.6465179686782</v>
      </c>
      <c r="H175" s="19">
        <f t="shared" si="172"/>
        <v>335.02970878756651</v>
      </c>
      <c r="I175" s="62"/>
      <c r="K175" s="15">
        <f>IF(B175&lt;=Dane_kredytowe!F$9,0,K174+1)</f>
        <v>95</v>
      </c>
      <c r="L175" s="83">
        <f t="shared" si="132"/>
        <v>-7.4000000000000003E-3</v>
      </c>
      <c r="M175" s="84">
        <f>L175+Dane_kredytowe!F$12</f>
        <v>2.2599999999999999E-2</v>
      </c>
      <c r="N175" s="79">
        <f>MAX(Dane_kredytowe!F$17+SUM(AA$5:AA174)-SUM(X$5:X175)+SUM(W$5:W175),0)</f>
        <v>78213.85941487251</v>
      </c>
      <c r="O175" s="85">
        <f>MAX(Dane_kredytowe!F$8+SUM(V$5:V174)-SUM(S$5:S175)+SUM(R$5:R174),0)</f>
        <v>246642.04563164336</v>
      </c>
      <c r="P175" s="67">
        <f t="shared" si="180"/>
        <v>360</v>
      </c>
      <c r="Q175" s="127" t="str">
        <f>IF(AND(K175&gt;0,K175&lt;=Dane_kredytowe!F$16),"tak","nie")</f>
        <v>nie</v>
      </c>
      <c r="R175" s="69"/>
      <c r="S175" s="86">
        <f>IF(Dane_kredytowe!F$19=B175,O174+V174,_xlfn.XLOOKUP(B175,Dane_kredytowe!M$9:M$18,Dane_kredytowe!N$9:N$18,0))</f>
        <v>0</v>
      </c>
      <c r="T175" s="71">
        <f t="shared" si="133"/>
        <v>-464.50918593959494</v>
      </c>
      <c r="U175" s="72">
        <f>IF(Q175="tak",T175,IF(P175-SUM(AB$5:AB175)+1&gt;0,IF(Dane_kredytowe!F$9&lt;B175,IF(SUM(AB$5:AB175)-Dane_kredytowe!F$16+1&gt;0,PMT(M175/12,P175+1-SUM(AB$5:AB175),O175),T175),0),0))</f>
        <v>-1179.6465179686782</v>
      </c>
      <c r="V175" s="72">
        <f t="shared" si="155"/>
        <v>-715.13733202908315</v>
      </c>
      <c r="W175" s="19" t="str">
        <f t="shared" si="156"/>
        <v xml:space="preserve"> </v>
      </c>
      <c r="X175" s="19">
        <f t="shared" si="169"/>
        <v>0</v>
      </c>
      <c r="Y175" s="73">
        <f t="shared" si="134"/>
        <v>-147.30276856467654</v>
      </c>
      <c r="Z175" s="19">
        <f>IF(P175-SUM(AB$5:AB175)+1&gt;0,IF(Dane_kredytowe!F$9&lt;B175,IF(SUM(AB$5:AB175)-Dane_kredytowe!F$16+1&gt;0,PMT(M175/12,P175+1-SUM(AB$5:AB175),N175),Y175),0),0)</f>
        <v>-374.08344825943499</v>
      </c>
      <c r="AA175" s="19">
        <f t="shared" si="173"/>
        <v>-226.78067969475845</v>
      </c>
      <c r="AB175" s="20">
        <f>IF(AND(Dane_kredytowe!F$9&lt;B175,SUM(AB$5:AB174)&lt;P174),1," ")</f>
        <v>1</v>
      </c>
      <c r="AD175" s="75">
        <f>IF(OR(B175&lt;Dane_kredytowe!F$15,Dane_kredytowe!F$15=""),-F175+S175,0)</f>
        <v>0</v>
      </c>
      <c r="AE175" s="75">
        <f t="shared" si="135"/>
        <v>374.08344825943499</v>
      </c>
      <c r="AG175" s="22">
        <f>Dane_kredytowe!F$17-SUM(AI$5:AI174)+SUM(W$42:W175)-SUM(X$42:X175)</f>
        <v>70294.020000000048</v>
      </c>
      <c r="AH175" s="22">
        <f t="shared" si="136"/>
        <v>132.38999999999999</v>
      </c>
      <c r="AI175" s="22">
        <f t="shared" si="137"/>
        <v>264.26</v>
      </c>
      <c r="AJ175" s="22">
        <f t="shared" si="181"/>
        <v>396.65</v>
      </c>
      <c r="AK175" s="22">
        <f t="shared" si="138"/>
        <v>1606.05</v>
      </c>
      <c r="AL175" s="22">
        <f>Dane_kredytowe!F$8-SUM(AN$5:AN174)+SUM(R$42:R174)-SUM(S$42:S175)</f>
        <v>221666.97999999986</v>
      </c>
      <c r="AM175" s="22">
        <f t="shared" si="139"/>
        <v>417.47</v>
      </c>
      <c r="AN175" s="22">
        <f t="shared" si="140"/>
        <v>833.33</v>
      </c>
      <c r="AO175" s="22">
        <f t="shared" si="175"/>
        <v>1250.8000000000002</v>
      </c>
      <c r="AP175" s="22">
        <f t="shared" si="176"/>
        <v>355.24999999999977</v>
      </c>
      <c r="AR175" s="87">
        <f t="shared" si="141"/>
        <v>42430</v>
      </c>
      <c r="AS175" s="23">
        <f>AS$5+SUM(AV$5:AV174)-SUM(X$5:X175)+SUM(W$5:W175)</f>
        <v>114323.74415112792</v>
      </c>
      <c r="AT175" s="22">
        <f t="shared" si="142"/>
        <v>-215.30971815129089</v>
      </c>
      <c r="AU175" s="22">
        <f>IF(AB175=1,IF(Q175="tak",AT175,PMT(M175/12,P175+1-SUM(AB$5:AB175),AS175)),0)</f>
        <v>-546.79082134452506</v>
      </c>
      <c r="AV175" s="22">
        <f t="shared" si="177"/>
        <v>-331.48110319323416</v>
      </c>
      <c r="AW175" s="22">
        <f t="shared" si="143"/>
        <v>-2149.4893977874622</v>
      </c>
      <c r="AY175" s="23">
        <f>AY$5+SUM(BA$5:BA174)+SUM(W$5:W174)-SUM(X$5:X174)</f>
        <v>102746.89143784184</v>
      </c>
      <c r="AZ175" s="23">
        <f t="shared" si="144"/>
        <v>-215.30971815129089</v>
      </c>
      <c r="BA175" s="23">
        <f t="shared" si="145"/>
        <v>-386.27</v>
      </c>
      <c r="BB175" s="23">
        <f t="shared" si="124"/>
        <v>-601.57971815129088</v>
      </c>
      <c r="BC175" s="23">
        <f t="shared" si="146"/>
        <v>-2364.8700300245396</v>
      </c>
      <c r="BE175" s="88">
        <f t="shared" si="147"/>
        <v>1.67E-2</v>
      </c>
      <c r="BF175" s="89">
        <f>BE175+Dane_kredytowe!F$12</f>
        <v>4.6699999999999998E-2</v>
      </c>
      <c r="BG175" s="23">
        <f>BG$5+SUM(BH$5:BH174)+SUM(R$5:R174)-SUM(S$5:S174)</f>
        <v>267265.53945104941</v>
      </c>
      <c r="BH175" s="22">
        <f t="shared" si="126"/>
        <v>-574.65464959118117</v>
      </c>
      <c r="BI175" s="22">
        <f t="shared" si="178"/>
        <v>-1040.1083910303339</v>
      </c>
      <c r="BJ175" s="22">
        <f>IF(U175&lt;0,PMT(BF175/12,Dane_kredytowe!F$13-SUM(AB$5:AB175)+1,BG175),0)</f>
        <v>-1614.7630406215151</v>
      </c>
      <c r="BL175" s="23">
        <f>BL$5+SUM(BN$5:BN174)+SUM(R$5:R174)-SUM(S$5:S174)</f>
        <v>221666.66666666669</v>
      </c>
      <c r="BM175" s="23">
        <f t="shared" si="129"/>
        <v>-862.65277777777783</v>
      </c>
      <c r="BN175" s="23">
        <f t="shared" si="148"/>
        <v>-833.33333333333337</v>
      </c>
      <c r="BO175" s="23">
        <f t="shared" si="179"/>
        <v>-1695.9861111111113</v>
      </c>
      <c r="BQ175" s="89">
        <f t="shared" si="149"/>
        <v>3.3399999999999999E-2</v>
      </c>
      <c r="BR175" s="23">
        <f>BR$5+SUM(BS$5:BS174)+SUM(R$5:R174)-SUM(S$5:S174)+SUM(BV$5:BV174)</f>
        <v>304034.35269232723</v>
      </c>
      <c r="BS175" s="22">
        <f t="shared" si="163"/>
        <v>-773.13029246926021</v>
      </c>
      <c r="BT175" s="22">
        <f t="shared" si="164"/>
        <v>-846.22894832697739</v>
      </c>
      <c r="BU175" s="22">
        <f>IF(U175&lt;0,PMT(BQ175/12,Dane_kredytowe!F$13-SUM(AB$5:AB175)+1,BR175),0)</f>
        <v>-1619.3592407962376</v>
      </c>
      <c r="BV175" s="22">
        <f t="shared" si="157"/>
        <v>104.68301403999294</v>
      </c>
      <c r="BX175" s="23">
        <f>BX$5+SUM(BZ$5:BZ174)+SUM(R$5:R174)-SUM(S$5:S174)+SUM(CB$5,CB174)</f>
        <v>221428.54198496451</v>
      </c>
      <c r="BY175" s="22">
        <f t="shared" si="150"/>
        <v>-616.30944185815122</v>
      </c>
      <c r="BZ175" s="22">
        <f t="shared" si="151"/>
        <v>-832.43812776302445</v>
      </c>
      <c r="CA175" s="22">
        <f t="shared" si="165"/>
        <v>-1448.7475696211757</v>
      </c>
      <c r="CB175" s="22">
        <f t="shared" si="166"/>
        <v>-65.928657135068988</v>
      </c>
      <c r="CD175" s="22">
        <f>CD$5+SUM(CE$5:CE174)+SUM(R$5:R174)-SUM(S$5:S174)-SUM(CF$5:CF174)</f>
        <v>284575.29625162244</v>
      </c>
      <c r="CE175" s="22">
        <f t="shared" si="158"/>
        <v>616.30944185815122</v>
      </c>
      <c r="CF175" s="22">
        <f t="shared" si="152"/>
        <v>1514.6762267562447</v>
      </c>
      <c r="CG175" s="22">
        <f t="shared" si="159"/>
        <v>898.36678489809344</v>
      </c>
      <c r="CI175" s="89">
        <f t="shared" si="153"/>
        <v>0.48770000000000002</v>
      </c>
      <c r="CJ175" s="22">
        <f t="shared" si="154"/>
        <v>-738.71</v>
      </c>
      <c r="CK175" s="15">
        <f t="shared" si="160"/>
        <v>0</v>
      </c>
      <c r="CM175" s="22">
        <f t="shared" si="161"/>
        <v>-131244.74552657202</v>
      </c>
      <c r="CN175" s="15">
        <f t="shared" si="167"/>
        <v>-182.64893752447938</v>
      </c>
    </row>
    <row r="176" spans="1:92">
      <c r="A176" s="25"/>
      <c r="B176" s="80">
        <v>42461</v>
      </c>
      <c r="C176" s="81">
        <f t="shared" si="131"/>
        <v>3.9310999999999998</v>
      </c>
      <c r="D176" s="82">
        <f t="shared" si="162"/>
        <v>4.0490329999999997</v>
      </c>
      <c r="E176" s="73">
        <f t="shared" si="170"/>
        <v>-374.08344825943504</v>
      </c>
      <c r="F176" s="19">
        <f t="shared" si="171"/>
        <v>-1514.6762267562449</v>
      </c>
      <c r="G176" s="19">
        <f t="shared" si="174"/>
        <v>-1179.6465179686782</v>
      </c>
      <c r="H176" s="19">
        <f t="shared" si="172"/>
        <v>335.02970878756673</v>
      </c>
      <c r="I176" s="62"/>
      <c r="K176" s="15">
        <f>IF(B176&lt;=Dane_kredytowe!F$9,0,K175+1)</f>
        <v>96</v>
      </c>
      <c r="L176" s="83">
        <f t="shared" si="132"/>
        <v>-7.4000000000000003E-3</v>
      </c>
      <c r="M176" s="84">
        <f>L176+Dane_kredytowe!F$12</f>
        <v>2.2599999999999999E-2</v>
      </c>
      <c r="N176" s="79">
        <f>MAX(Dane_kredytowe!F$17+SUM(AA$5:AA175)-SUM(X$5:X176)+SUM(W$5:W176),0)</f>
        <v>77987.078735177754</v>
      </c>
      <c r="O176" s="85">
        <f>MAX(Dane_kredytowe!F$8+SUM(V$5:V175)-SUM(S$5:S176)+SUM(R$5:R175),0)</f>
        <v>245926.90829961427</v>
      </c>
      <c r="P176" s="67">
        <f t="shared" si="180"/>
        <v>360</v>
      </c>
      <c r="Q176" s="127" t="str">
        <f>IF(AND(K176&gt;0,K176&lt;=Dane_kredytowe!F$16),"tak","nie")</f>
        <v>nie</v>
      </c>
      <c r="R176" s="69"/>
      <c r="S176" s="86">
        <f>IF(Dane_kredytowe!F$19=B176,O175+V175,_xlfn.XLOOKUP(B176,Dane_kredytowe!M$9:M$18,Dane_kredytowe!N$9:N$18,0))</f>
        <v>0</v>
      </c>
      <c r="T176" s="71">
        <f t="shared" si="133"/>
        <v>-463.16234396427353</v>
      </c>
      <c r="U176" s="72">
        <f>IF(Q176="tak",T176,IF(P176-SUM(AB$5:AB176)+1&gt;0,IF(Dane_kredytowe!F$9&lt;B176,IF(SUM(AB$5:AB176)-Dane_kredytowe!F$16+1&gt;0,PMT(M176/12,P176+1-SUM(AB$5:AB176),O176),T176),0),0))</f>
        <v>-1179.6465179686782</v>
      </c>
      <c r="V176" s="72">
        <f t="shared" si="155"/>
        <v>-716.48417400440462</v>
      </c>
      <c r="W176" s="19" t="str">
        <f t="shared" si="156"/>
        <v xml:space="preserve"> </v>
      </c>
      <c r="X176" s="19">
        <f t="shared" si="169"/>
        <v>0</v>
      </c>
      <c r="Y176" s="73">
        <f t="shared" si="134"/>
        <v>-146.87566495125142</v>
      </c>
      <c r="Z176" s="19">
        <f>IF(P176-SUM(AB$5:AB176)+1&gt;0,IF(Dane_kredytowe!F$9&lt;B176,IF(SUM(AB$5:AB176)-Dane_kredytowe!F$16+1&gt;0,PMT(M176/12,P176+1-SUM(AB$5:AB176),N176),Y176),0),0)</f>
        <v>-374.08344825943504</v>
      </c>
      <c r="AA176" s="19">
        <f t="shared" si="173"/>
        <v>-227.20778330818362</v>
      </c>
      <c r="AB176" s="20">
        <f>IF(AND(Dane_kredytowe!F$9&lt;B176,SUM(AB$5:AB175)&lt;P175),1," ")</f>
        <v>1</v>
      </c>
      <c r="AD176" s="75">
        <f>IF(OR(B176&lt;Dane_kredytowe!F$15,Dane_kredytowe!F$15=""),-F176+S176,0)</f>
        <v>0</v>
      </c>
      <c r="AE176" s="75">
        <f t="shared" si="135"/>
        <v>374.08344825943504</v>
      </c>
      <c r="AG176" s="22">
        <f>Dane_kredytowe!F$17-SUM(AI$5:AI175)+SUM(W$42:W176)-SUM(X$42:X176)</f>
        <v>70029.760000000053</v>
      </c>
      <c r="AH176" s="22">
        <f t="shared" si="136"/>
        <v>131.88999999999999</v>
      </c>
      <c r="AI176" s="22">
        <f t="shared" si="137"/>
        <v>264.26</v>
      </c>
      <c r="AJ176" s="22">
        <f t="shared" si="181"/>
        <v>396.15</v>
      </c>
      <c r="AK176" s="22">
        <f t="shared" si="138"/>
        <v>1604.02</v>
      </c>
      <c r="AL176" s="22">
        <f>Dane_kredytowe!F$8-SUM(AN$5:AN175)+SUM(R$42:R175)-SUM(S$42:S176)</f>
        <v>220833.64999999988</v>
      </c>
      <c r="AM176" s="22">
        <f t="shared" si="139"/>
        <v>415.9</v>
      </c>
      <c r="AN176" s="22">
        <f t="shared" si="140"/>
        <v>833.33</v>
      </c>
      <c r="AO176" s="22">
        <f t="shared" si="175"/>
        <v>1249.23</v>
      </c>
      <c r="AP176" s="22">
        <f t="shared" si="176"/>
        <v>354.78999999999996</v>
      </c>
      <c r="AR176" s="87">
        <f t="shared" si="141"/>
        <v>42461</v>
      </c>
      <c r="AS176" s="23">
        <f>AS$5+SUM(AV$5:AV175)-SUM(X$5:X176)+SUM(W$5:W176)</f>
        <v>113992.26304793468</v>
      </c>
      <c r="AT176" s="22">
        <f t="shared" si="142"/>
        <v>-214.68542874027696</v>
      </c>
      <c r="AU176" s="22">
        <f>IF(AB176=1,IF(Q176="tak",AT176,PMT(M176/12,P176+1-SUM(AB$5:AB176),AS176)),0)</f>
        <v>-546.79082134452506</v>
      </c>
      <c r="AV176" s="22">
        <f t="shared" si="177"/>
        <v>-332.1053926042481</v>
      </c>
      <c r="AW176" s="22">
        <f t="shared" si="143"/>
        <v>-2149.4893977874622</v>
      </c>
      <c r="AY176" s="23">
        <f>AY$5+SUM(BA$5:BA175)+SUM(W$5:W175)-SUM(X$5:X175)</f>
        <v>102360.62143784185</v>
      </c>
      <c r="AZ176" s="23">
        <f t="shared" si="144"/>
        <v>-214.68542874027696</v>
      </c>
      <c r="BA176" s="23">
        <f t="shared" si="145"/>
        <v>-386.27</v>
      </c>
      <c r="BB176" s="23">
        <f t="shared" ref="BB176:BB181" si="182">BA176+AZ176</f>
        <v>-600.95542874027694</v>
      </c>
      <c r="BC176" s="23">
        <f t="shared" si="146"/>
        <v>-2362.4158859209024</v>
      </c>
      <c r="BE176" s="88">
        <f t="shared" si="147"/>
        <v>1.67E-2</v>
      </c>
      <c r="BF176" s="89">
        <f>BE176+Dane_kredytowe!F$12</f>
        <v>4.6699999999999998E-2</v>
      </c>
      <c r="BG176" s="23">
        <f>BG$5+SUM(BH$5:BH175)+SUM(R$5:R175)-SUM(S$5:S175)</f>
        <v>266690.88480145822</v>
      </c>
      <c r="BH176" s="22">
        <f t="shared" si="126"/>
        <v>-576.89101393583996</v>
      </c>
      <c r="BI176" s="22">
        <f t="shared" si="178"/>
        <v>-1037.8720266856749</v>
      </c>
      <c r="BJ176" s="22">
        <f>IF(U176&lt;0,PMT(BF176/12,Dane_kredytowe!F$13-SUM(AB$5:AB176)+1,BG176),0)</f>
        <v>-1614.7630406215148</v>
      </c>
      <c r="BL176" s="23">
        <f>BL$5+SUM(BN$5:BN175)+SUM(R$5:R175)-SUM(S$5:S175)</f>
        <v>220833.33333333334</v>
      </c>
      <c r="BM176" s="23">
        <f t="shared" si="129"/>
        <v>-859.40972222222217</v>
      </c>
      <c r="BN176" s="23">
        <f t="shared" si="148"/>
        <v>-833.33333333333337</v>
      </c>
      <c r="BO176" s="23">
        <f t="shared" si="179"/>
        <v>-1692.7430555555557</v>
      </c>
      <c r="BQ176" s="89">
        <f t="shared" si="149"/>
        <v>3.3399999999999999E-2</v>
      </c>
      <c r="BR176" s="23">
        <f>BR$5+SUM(BS$5:BS175)+SUM(R$5:R175)-SUM(S$5:S175)+SUM(BV$5:BV175)</f>
        <v>303365.90541389794</v>
      </c>
      <c r="BS176" s="22">
        <f t="shared" si="163"/>
        <v>-775.54979213327908</v>
      </c>
      <c r="BT176" s="22">
        <f t="shared" si="164"/>
        <v>-844.36843673534929</v>
      </c>
      <c r="BU176" s="22">
        <f>IF(U176&lt;0,PMT(BQ176/12,Dane_kredytowe!F$13-SUM(AB$5:AB176)+1,BR176),0)</f>
        <v>-1619.9182288686284</v>
      </c>
      <c r="BV176" s="22">
        <f t="shared" si="157"/>
        <v>105.24200211238349</v>
      </c>
      <c r="BX176" s="23">
        <f>BX$5+SUM(BZ$5:BZ175)+SUM(R$5:R175)-SUM(S$5:S175)+SUM(CB$5,CB175)</f>
        <v>220612.61469069993</v>
      </c>
      <c r="BY176" s="22">
        <f t="shared" si="150"/>
        <v>-614.03844422244811</v>
      </c>
      <c r="BZ176" s="22">
        <f t="shared" si="151"/>
        <v>-832.50043279509407</v>
      </c>
      <c r="CA176" s="22">
        <f t="shared" si="165"/>
        <v>-1446.5388770175423</v>
      </c>
      <c r="CB176" s="22">
        <f t="shared" si="166"/>
        <v>-68.137349738702596</v>
      </c>
      <c r="CD176" s="22">
        <f>CD$5+SUM(CE$5:CE175)+SUM(R$5:R175)-SUM(S$5:S175)-SUM(CF$5:CF175)</f>
        <v>283676.92946672428</v>
      </c>
      <c r="CE176" s="22">
        <f t="shared" si="158"/>
        <v>614.03844422244811</v>
      </c>
      <c r="CF176" s="22">
        <f t="shared" si="152"/>
        <v>1514.6762267562449</v>
      </c>
      <c r="CG176" s="22">
        <f t="shared" si="159"/>
        <v>900.63778253379678</v>
      </c>
      <c r="CI176" s="89">
        <f t="shared" si="153"/>
        <v>0.48330000000000001</v>
      </c>
      <c r="CJ176" s="22">
        <f t="shared" si="154"/>
        <v>-732.04</v>
      </c>
      <c r="CK176" s="15">
        <f t="shared" si="160"/>
        <v>0</v>
      </c>
      <c r="CM176" s="22">
        <f t="shared" si="161"/>
        <v>-132759.42175332826</v>
      </c>
      <c r="CN176" s="15">
        <f t="shared" si="167"/>
        <v>-184.75686194004848</v>
      </c>
    </row>
    <row r="177" spans="1:92">
      <c r="A177" s="25"/>
      <c r="B177" s="80">
        <v>42491</v>
      </c>
      <c r="C177" s="81">
        <f t="shared" si="131"/>
        <v>3.9874000000000001</v>
      </c>
      <c r="D177" s="82">
        <f t="shared" si="162"/>
        <v>4.1070219999999997</v>
      </c>
      <c r="E177" s="73">
        <f t="shared" ref="E177:E185" si="183">Z177</f>
        <v>-374.08344825943499</v>
      </c>
      <c r="F177" s="19">
        <f t="shared" ref="F177:F185" si="184">E177*D177</f>
        <v>-1536.368951837361</v>
      </c>
      <c r="G177" s="19">
        <f t="shared" ref="G177:G185" si="185">U177</f>
        <v>-1179.6465179686779</v>
      </c>
      <c r="H177" s="19">
        <f t="shared" ref="H177:H185" si="186">G177-F177</f>
        <v>356.72243386868308</v>
      </c>
      <c r="I177" s="62"/>
      <c r="K177" s="15">
        <f>IF(B177&lt;=Dane_kredytowe!F$9,0,K176+1)</f>
        <v>97</v>
      </c>
      <c r="L177" s="83">
        <f t="shared" si="132"/>
        <v>-7.4000000000000003E-3</v>
      </c>
      <c r="M177" s="84">
        <f>L177+Dane_kredytowe!F$12</f>
        <v>2.2599999999999999E-2</v>
      </c>
      <c r="N177" s="79">
        <f>MAX(Dane_kredytowe!F$17+SUM(AA$5:AA176)-SUM(X$5:X177)+SUM(W$5:W177),0)</f>
        <v>77759.870951869569</v>
      </c>
      <c r="O177" s="85">
        <f>MAX(Dane_kredytowe!F$8+SUM(V$5:V176)-SUM(S$5:S177)+SUM(R$5:R176),0)</f>
        <v>245210.42412560986</v>
      </c>
      <c r="P177" s="67">
        <f t="shared" si="180"/>
        <v>360</v>
      </c>
      <c r="Q177" s="127" t="str">
        <f>IF(AND(K177&gt;0,K177&lt;=Dane_kredytowe!F$16),"tak","nie")</f>
        <v>nie</v>
      </c>
      <c r="R177" s="69"/>
      <c r="S177" s="86">
        <f>IF(Dane_kredytowe!F$19=B177,O176+V176,_xlfn.XLOOKUP(B177,Dane_kredytowe!M$9:M$18,Dane_kredytowe!N$9:N$18,0))</f>
        <v>0</v>
      </c>
      <c r="T177" s="71">
        <f t="shared" si="133"/>
        <v>-461.81296543656521</v>
      </c>
      <c r="U177" s="72">
        <f>IF(Q177="tak",T177,IF(P177-SUM(AB$5:AB177)+1&gt;0,IF(Dane_kredytowe!F$9&lt;B177,IF(SUM(AB$5:AB177)-Dane_kredytowe!F$16+1&gt;0,PMT(M177/12,P177+1-SUM(AB$5:AB177),O177),T177),0),0))</f>
        <v>-1179.6465179686779</v>
      </c>
      <c r="V177" s="72">
        <f t="shared" si="155"/>
        <v>-717.83355253211266</v>
      </c>
      <c r="W177" s="19" t="str">
        <f t="shared" si="156"/>
        <v xml:space="preserve"> </v>
      </c>
      <c r="X177" s="19">
        <f t="shared" si="169"/>
        <v>0</v>
      </c>
      <c r="Y177" s="73">
        <f t="shared" si="134"/>
        <v>-146.44775695935434</v>
      </c>
      <c r="Z177" s="19">
        <f>IF(P177-SUM(AB$5:AB177)+1&gt;0,IF(Dane_kredytowe!F$9&lt;B177,IF(SUM(AB$5:AB177)-Dane_kredytowe!F$16+1&gt;0,PMT(M177/12,P177+1-SUM(AB$5:AB177),N177),Y177),0),0)</f>
        <v>-374.08344825943499</v>
      </c>
      <c r="AA177" s="19">
        <f t="shared" ref="AA177:AA185" si="187">Z177-Y177</f>
        <v>-227.63569130008065</v>
      </c>
      <c r="AB177" s="20">
        <f>IF(AND(Dane_kredytowe!F$9&lt;B177,SUM(AB$5:AB176)&lt;P176),1," ")</f>
        <v>1</v>
      </c>
      <c r="AD177" s="75">
        <f>IF(OR(B177&lt;Dane_kredytowe!F$15,Dane_kredytowe!F$15=""),-F177+S177,0)</f>
        <v>0</v>
      </c>
      <c r="AE177" s="75">
        <f t="shared" si="135"/>
        <v>374.08344825943499</v>
      </c>
      <c r="AG177" s="22">
        <f>Dane_kredytowe!F$17-SUM(AI$5:AI176)+SUM(W$42:W177)-SUM(X$42:X177)</f>
        <v>69765.500000000058</v>
      </c>
      <c r="AH177" s="22">
        <f t="shared" si="136"/>
        <v>131.38999999999999</v>
      </c>
      <c r="AI177" s="22">
        <f t="shared" si="137"/>
        <v>264.26</v>
      </c>
      <c r="AJ177" s="22">
        <f t="shared" ref="AJ177:AJ185" si="188">AI177+AH177</f>
        <v>395.65</v>
      </c>
      <c r="AK177" s="22">
        <f t="shared" si="138"/>
        <v>1624.94</v>
      </c>
      <c r="AL177" s="22">
        <f>Dane_kredytowe!F$8-SUM(AN$5:AN176)+SUM(R$42:R176)-SUM(S$42:S177)</f>
        <v>220000.31999999989</v>
      </c>
      <c r="AM177" s="22">
        <f t="shared" si="139"/>
        <v>414.33</v>
      </c>
      <c r="AN177" s="22">
        <f t="shared" si="140"/>
        <v>833.33</v>
      </c>
      <c r="AO177" s="22">
        <f t="shared" ref="AO177:AO185" si="189">AN177+AM177</f>
        <v>1247.6600000000001</v>
      </c>
      <c r="AP177" s="22">
        <f t="shared" ref="AP177:AP185" si="190">AK177-AO177</f>
        <v>377.28</v>
      </c>
      <c r="AR177" s="87">
        <f t="shared" si="141"/>
        <v>42491</v>
      </c>
      <c r="AS177" s="23">
        <f>AS$5+SUM(AV$5:AV176)-SUM(X$5:X177)+SUM(W$5:W177)</f>
        <v>113660.15765533043</v>
      </c>
      <c r="AT177" s="22">
        <f t="shared" si="142"/>
        <v>-214.05996358420563</v>
      </c>
      <c r="AU177" s="22">
        <f>IF(AB177=1,IF(Q177="tak",AT177,PMT(M177/12,P177+1-SUM(AB$5:AB177),AS177)),0)</f>
        <v>-546.79082134452494</v>
      </c>
      <c r="AV177" s="22">
        <f t="shared" si="177"/>
        <v>-332.73085776031928</v>
      </c>
      <c r="AW177" s="22">
        <f t="shared" si="143"/>
        <v>-2180.2737210291589</v>
      </c>
      <c r="AY177" s="23">
        <f>AY$5+SUM(BA$5:BA176)+SUM(W$5:W176)-SUM(X$5:X176)</f>
        <v>101974.35143784186</v>
      </c>
      <c r="AZ177" s="23">
        <f t="shared" si="144"/>
        <v>-214.05996358420563</v>
      </c>
      <c r="BA177" s="23">
        <f t="shared" si="145"/>
        <v>-386.27</v>
      </c>
      <c r="BB177" s="23">
        <f t="shared" si="182"/>
        <v>-600.32996358420564</v>
      </c>
      <c r="BC177" s="23">
        <f t="shared" si="146"/>
        <v>-2393.7556967956616</v>
      </c>
      <c r="BE177" s="88">
        <f t="shared" si="147"/>
        <v>1.67E-2</v>
      </c>
      <c r="BF177" s="89">
        <f>BE177+Dane_kredytowe!F$12</f>
        <v>4.6699999999999998E-2</v>
      </c>
      <c r="BG177" s="23">
        <f>BG$5+SUM(BH$5:BH176)+SUM(R$5:R176)-SUM(S$5:S176)</f>
        <v>266113.99378752237</v>
      </c>
      <c r="BH177" s="22">
        <f t="shared" ref="BH177:BH185" si="191">IF(BJ177&lt;0,BJ177-BI177,0)</f>
        <v>-579.13608146507363</v>
      </c>
      <c r="BI177" s="22">
        <f t="shared" ref="BI177:BI185" si="192">IF(BJ177&lt;0,-BG177*BF177/12,0)</f>
        <v>-1035.6269591564412</v>
      </c>
      <c r="BJ177" s="22">
        <f>IF(U177&lt;0,PMT(BF177/12,Dane_kredytowe!F$13-SUM(AB$5:AB177)+1,BG177),0)</f>
        <v>-1614.7630406215148</v>
      </c>
      <c r="BL177" s="23">
        <f>BL$5+SUM(BN$5:BN176)+SUM(R$5:R176)-SUM(S$5:S176)</f>
        <v>220000</v>
      </c>
      <c r="BM177" s="23">
        <f t="shared" si="129"/>
        <v>-856.16666666666663</v>
      </c>
      <c r="BN177" s="23">
        <f t="shared" si="148"/>
        <v>-833.33333333333337</v>
      </c>
      <c r="BO177" s="23">
        <f t="shared" si="179"/>
        <v>-1689.5</v>
      </c>
      <c r="BQ177" s="89">
        <f t="shared" si="149"/>
        <v>3.3399999999999999E-2</v>
      </c>
      <c r="BR177" s="23">
        <f>BR$5+SUM(BS$5:BS176)+SUM(R$5:R176)-SUM(S$5:S176)+SUM(BV$5:BV176)</f>
        <v>302695.59762387705</v>
      </c>
      <c r="BS177" s="22">
        <f t="shared" si="163"/>
        <v>-777.97889547149339</v>
      </c>
      <c r="BT177" s="22">
        <f t="shared" si="164"/>
        <v>-842.50274671979105</v>
      </c>
      <c r="BU177" s="22">
        <f>IF(U177&lt;0,PMT(BQ177/12,Dane_kredytowe!F$13-SUM(AB$5:AB177)+1,BR177),0)</f>
        <v>-1620.4816421912844</v>
      </c>
      <c r="BV177" s="22">
        <f t="shared" si="157"/>
        <v>84.112690353923426</v>
      </c>
      <c r="BX177" s="23">
        <f>BX$5+SUM(BZ$5:BZ176)+SUM(R$5:R176)-SUM(S$5:S176)+SUM(CB$5,CB176)</f>
        <v>219777.90556530122</v>
      </c>
      <c r="BY177" s="22">
        <f t="shared" si="150"/>
        <v>-611.71517049008833</v>
      </c>
      <c r="BZ177" s="22">
        <f t="shared" si="151"/>
        <v>-832.49206653523186</v>
      </c>
      <c r="CA177" s="22">
        <f t="shared" si="165"/>
        <v>-1444.2072370253202</v>
      </c>
      <c r="CB177" s="22">
        <f t="shared" si="166"/>
        <v>-92.161714812040827</v>
      </c>
      <c r="CD177" s="22">
        <f>CD$5+SUM(CE$5:CE176)+SUM(R$5:R176)-SUM(S$5:S176)-SUM(CF$5:CF176)</f>
        <v>282776.29168419051</v>
      </c>
      <c r="CE177" s="22">
        <f t="shared" si="158"/>
        <v>611.71517049008833</v>
      </c>
      <c r="CF177" s="22">
        <f t="shared" si="152"/>
        <v>1536.368951837361</v>
      </c>
      <c r="CG177" s="22">
        <f t="shared" si="159"/>
        <v>924.65378134727268</v>
      </c>
      <c r="CI177" s="89">
        <f t="shared" si="153"/>
        <v>0.48180000000000001</v>
      </c>
      <c r="CJ177" s="22">
        <f t="shared" si="154"/>
        <v>-740.22</v>
      </c>
      <c r="CK177" s="15">
        <f t="shared" si="160"/>
        <v>0</v>
      </c>
      <c r="CM177" s="22">
        <f t="shared" si="161"/>
        <v>-134295.79070516562</v>
      </c>
      <c r="CN177" s="15">
        <f t="shared" si="167"/>
        <v>-186.89497539802213</v>
      </c>
    </row>
    <row r="178" spans="1:92">
      <c r="A178" s="25"/>
      <c r="B178" s="80">
        <v>42522</v>
      </c>
      <c r="C178" s="81">
        <f t="shared" si="131"/>
        <v>4.0373999999999999</v>
      </c>
      <c r="D178" s="82">
        <f t="shared" si="162"/>
        <v>4.1585219999999996</v>
      </c>
      <c r="E178" s="73">
        <f t="shared" si="183"/>
        <v>-374.08344825943499</v>
      </c>
      <c r="F178" s="19">
        <f t="shared" si="184"/>
        <v>-1555.634249422722</v>
      </c>
      <c r="G178" s="19">
        <f t="shared" si="185"/>
        <v>-1179.6465179686782</v>
      </c>
      <c r="H178" s="19">
        <f t="shared" si="186"/>
        <v>375.9877314540438</v>
      </c>
      <c r="I178" s="62"/>
      <c r="K178" s="15">
        <f>IF(B178&lt;=Dane_kredytowe!F$9,0,K177+1)</f>
        <v>98</v>
      </c>
      <c r="L178" s="83">
        <f t="shared" si="132"/>
        <v>-7.4000000000000003E-3</v>
      </c>
      <c r="M178" s="84">
        <f>L178+Dane_kredytowe!F$12</f>
        <v>2.2599999999999999E-2</v>
      </c>
      <c r="N178" s="79">
        <f>MAX(Dane_kredytowe!F$17+SUM(AA$5:AA177)-SUM(X$5:X178)+SUM(W$5:W178),0)</f>
        <v>77532.23526056949</v>
      </c>
      <c r="O178" s="85">
        <f>MAX(Dane_kredytowe!F$8+SUM(V$5:V177)-SUM(S$5:S178)+SUM(R$5:R177),0)</f>
        <v>244492.59057307776</v>
      </c>
      <c r="P178" s="67">
        <f t="shared" si="180"/>
        <v>360</v>
      </c>
      <c r="Q178" s="127" t="str">
        <f>IF(AND(K178&gt;0,K178&lt;=Dane_kredytowe!F$16),"tak","nie")</f>
        <v>nie</v>
      </c>
      <c r="R178" s="69"/>
      <c r="S178" s="86">
        <f>IF(Dane_kredytowe!F$19=B178,O177+V177,_xlfn.XLOOKUP(B178,Dane_kredytowe!M$9:M$18,Dane_kredytowe!N$9:N$18,0))</f>
        <v>0</v>
      </c>
      <c r="T178" s="71">
        <f t="shared" si="133"/>
        <v>-460.46104557929647</v>
      </c>
      <c r="U178" s="72">
        <f>IF(Q178="tak",T178,IF(P178-SUM(AB$5:AB178)+1&gt;0,IF(Dane_kredytowe!F$9&lt;B178,IF(SUM(AB$5:AB178)-Dane_kredytowe!F$16+1&gt;0,PMT(M178/12,P178+1-SUM(AB$5:AB178),O178),T178),0),0))</f>
        <v>-1179.6465179686782</v>
      </c>
      <c r="V178" s="72">
        <f t="shared" si="155"/>
        <v>-719.18547238938163</v>
      </c>
      <c r="W178" s="19" t="str">
        <f t="shared" si="156"/>
        <v xml:space="preserve"> </v>
      </c>
      <c r="X178" s="19">
        <f t="shared" si="169"/>
        <v>0</v>
      </c>
      <c r="Y178" s="73">
        <f t="shared" si="134"/>
        <v>-146.01904307407253</v>
      </c>
      <c r="Z178" s="19">
        <f>IF(P178-SUM(AB$5:AB178)+1&gt;0,IF(Dane_kredytowe!F$9&lt;B178,IF(SUM(AB$5:AB178)-Dane_kredytowe!F$16+1&gt;0,PMT(M178/12,P178+1-SUM(AB$5:AB178),N178),Y178),0),0)</f>
        <v>-374.08344825943499</v>
      </c>
      <c r="AA178" s="19">
        <f t="shared" si="187"/>
        <v>-228.06440518536246</v>
      </c>
      <c r="AB178" s="20">
        <f>IF(AND(Dane_kredytowe!F$9&lt;B178,SUM(AB$5:AB177)&lt;P177),1," ")</f>
        <v>1</v>
      </c>
      <c r="AD178" s="75">
        <f>IF(OR(B178&lt;Dane_kredytowe!F$15,Dane_kredytowe!F$15=""),-F178+S178,0)</f>
        <v>0</v>
      </c>
      <c r="AE178" s="75">
        <f t="shared" si="135"/>
        <v>374.08344825943499</v>
      </c>
      <c r="AG178" s="22">
        <f>Dane_kredytowe!F$17-SUM(AI$5:AI177)+SUM(W$42:W178)-SUM(X$42:X178)</f>
        <v>69501.240000000049</v>
      </c>
      <c r="AH178" s="22">
        <f t="shared" si="136"/>
        <v>130.88999999999999</v>
      </c>
      <c r="AI178" s="22">
        <f t="shared" si="137"/>
        <v>264.26</v>
      </c>
      <c r="AJ178" s="22">
        <f t="shared" si="188"/>
        <v>395.15</v>
      </c>
      <c r="AK178" s="22">
        <f t="shared" si="138"/>
        <v>1643.24</v>
      </c>
      <c r="AL178" s="22">
        <f>Dane_kredytowe!F$8-SUM(AN$5:AN177)+SUM(R$42:R177)-SUM(S$42:S178)</f>
        <v>219166.98999999987</v>
      </c>
      <c r="AM178" s="22">
        <f t="shared" si="139"/>
        <v>412.76</v>
      </c>
      <c r="AN178" s="22">
        <f t="shared" si="140"/>
        <v>833.33</v>
      </c>
      <c r="AO178" s="22">
        <f t="shared" si="189"/>
        <v>1246.0900000000001</v>
      </c>
      <c r="AP178" s="22">
        <f t="shared" si="190"/>
        <v>397.14999999999986</v>
      </c>
      <c r="AR178" s="87">
        <f t="shared" si="141"/>
        <v>42522</v>
      </c>
      <c r="AS178" s="23">
        <f>AS$5+SUM(AV$5:AV177)-SUM(X$5:X178)+SUM(W$5:W178)</f>
        <v>113327.42679757012</v>
      </c>
      <c r="AT178" s="22">
        <f t="shared" si="142"/>
        <v>-213.43332046875705</v>
      </c>
      <c r="AU178" s="22">
        <f>IF(AB178=1,IF(Q178="tak",AT178,PMT(M178/12,P178+1-SUM(AB$5:AB178),AS178)),0)</f>
        <v>-546.79082134452506</v>
      </c>
      <c r="AV178" s="22">
        <f t="shared" si="177"/>
        <v>-333.35750087576798</v>
      </c>
      <c r="AW178" s="22">
        <f t="shared" si="143"/>
        <v>-2207.6132620963854</v>
      </c>
      <c r="AY178" s="23">
        <f>AY$5+SUM(BA$5:BA177)+SUM(W$5:W177)-SUM(X$5:X177)</f>
        <v>101588.08143784186</v>
      </c>
      <c r="AZ178" s="23">
        <f t="shared" si="144"/>
        <v>-213.43332046875705</v>
      </c>
      <c r="BA178" s="23">
        <f t="shared" si="145"/>
        <v>-386.27</v>
      </c>
      <c r="BB178" s="23">
        <f t="shared" si="182"/>
        <v>-599.70332046875706</v>
      </c>
      <c r="BC178" s="23">
        <f t="shared" si="146"/>
        <v>-2421.2421860605596</v>
      </c>
      <c r="BE178" s="88">
        <f t="shared" si="147"/>
        <v>1.6899999999999998E-2</v>
      </c>
      <c r="BF178" s="89">
        <f>BE178+Dane_kredytowe!F$12</f>
        <v>4.6899999999999997E-2</v>
      </c>
      <c r="BG178" s="23">
        <f>BG$5+SUM(BH$5:BH177)+SUM(R$5:R177)-SUM(S$5:S177)</f>
        <v>265534.85770605732</v>
      </c>
      <c r="BH178" s="22">
        <f t="shared" si="191"/>
        <v>-579.91445993037746</v>
      </c>
      <c r="BI178" s="22">
        <f t="shared" si="192"/>
        <v>-1037.7987355345074</v>
      </c>
      <c r="BJ178" s="22">
        <f>IF(U178&lt;0,PMT(BF178/12,Dane_kredytowe!F$13-SUM(AB$5:AB178)+1,BG178),0)</f>
        <v>-1617.7131954648848</v>
      </c>
      <c r="BL178" s="23">
        <f>BL$5+SUM(BN$5:BN177)+SUM(R$5:R177)-SUM(S$5:S177)</f>
        <v>219166.66666666669</v>
      </c>
      <c r="BM178" s="23">
        <f t="shared" si="129"/>
        <v>-856.57638888888903</v>
      </c>
      <c r="BN178" s="23">
        <f t="shared" si="148"/>
        <v>-833.33333333333337</v>
      </c>
      <c r="BO178" s="23">
        <f t="shared" si="179"/>
        <v>-1689.9097222222224</v>
      </c>
      <c r="BQ178" s="89">
        <f t="shared" si="149"/>
        <v>3.3599999999999998E-2</v>
      </c>
      <c r="BR178" s="23">
        <f>BR$5+SUM(BS$5:BS177)+SUM(R$5:R177)-SUM(S$5:S177)+SUM(BV$5:BV177)</f>
        <v>302001.73141875945</v>
      </c>
      <c r="BS178" s="22">
        <f t="shared" si="163"/>
        <v>-778.45832760950589</v>
      </c>
      <c r="BT178" s="22">
        <f t="shared" si="164"/>
        <v>-845.60484797252639</v>
      </c>
      <c r="BU178" s="22">
        <f>IF(U178&lt;0,PMT(BQ178/12,Dane_kredytowe!F$13-SUM(AB$5:AB178)+1,BR178),0)</f>
        <v>-1624.0631755820323</v>
      </c>
      <c r="BV178" s="22">
        <f t="shared" si="157"/>
        <v>68.428926159310322</v>
      </c>
      <c r="BX178" s="23">
        <f>BX$5+SUM(BZ$5:BZ177)+SUM(R$5:R177)-SUM(S$5:S177)+SUM(CB$5,CB177)</f>
        <v>218921.38913369266</v>
      </c>
      <c r="BY178" s="22">
        <f t="shared" si="150"/>
        <v>-612.97988957433938</v>
      </c>
      <c r="BZ178" s="22">
        <f t="shared" si="151"/>
        <v>-832.40071913951579</v>
      </c>
      <c r="CA178" s="22">
        <f t="shared" si="165"/>
        <v>-1445.3806087138551</v>
      </c>
      <c r="CB178" s="22">
        <f t="shared" si="166"/>
        <v>-110.2536407088669</v>
      </c>
      <c r="CD178" s="22">
        <f>CD$5+SUM(CE$5:CE177)+SUM(R$5:R177)-SUM(S$5:S177)-SUM(CF$5:CF177)</f>
        <v>281851.6379028433</v>
      </c>
      <c r="CE178" s="22">
        <f t="shared" si="158"/>
        <v>612.97988957433938</v>
      </c>
      <c r="CF178" s="22">
        <f t="shared" si="152"/>
        <v>1555.634249422722</v>
      </c>
      <c r="CG178" s="22">
        <f t="shared" si="159"/>
        <v>942.65435984838257</v>
      </c>
      <c r="CI178" s="89">
        <f t="shared" si="153"/>
        <v>0.4788</v>
      </c>
      <c r="CJ178" s="22">
        <f t="shared" si="154"/>
        <v>-744.84</v>
      </c>
      <c r="CK178" s="15">
        <f t="shared" si="160"/>
        <v>0</v>
      </c>
      <c r="CM178" s="22">
        <f t="shared" si="161"/>
        <v>-135851.42495458835</v>
      </c>
      <c r="CN178" s="15">
        <f t="shared" si="167"/>
        <v>-191.32409014437857</v>
      </c>
    </row>
    <row r="179" spans="1:92">
      <c r="A179" s="25"/>
      <c r="B179" s="80">
        <v>42552</v>
      </c>
      <c r="C179" s="81">
        <f t="shared" si="131"/>
        <v>4.0465</v>
      </c>
      <c r="D179" s="82">
        <f t="shared" si="162"/>
        <v>4.1678949999999997</v>
      </c>
      <c r="E179" s="73">
        <f t="shared" si="183"/>
        <v>-374.08344825943493</v>
      </c>
      <c r="F179" s="19">
        <f t="shared" si="184"/>
        <v>-1559.1405335832574</v>
      </c>
      <c r="G179" s="19">
        <f t="shared" si="185"/>
        <v>-1179.6465179686779</v>
      </c>
      <c r="H179" s="19">
        <f t="shared" si="186"/>
        <v>379.49401561457944</v>
      </c>
      <c r="I179" s="62"/>
      <c r="K179" s="15">
        <f>IF(B179&lt;=Dane_kredytowe!F$9,0,K178+1)</f>
        <v>99</v>
      </c>
      <c r="L179" s="83">
        <f t="shared" si="132"/>
        <v>-7.4000000000000003E-3</v>
      </c>
      <c r="M179" s="84">
        <f>L179+Dane_kredytowe!F$12</f>
        <v>2.2599999999999999E-2</v>
      </c>
      <c r="N179" s="79">
        <f>MAX(Dane_kredytowe!F$17+SUM(AA$5:AA178)-SUM(X$5:X179)+SUM(W$5:W179),0)</f>
        <v>77304.170855384116</v>
      </c>
      <c r="O179" s="85">
        <f>MAX(Dane_kredytowe!F$8+SUM(V$5:V178)-SUM(S$5:S179)+SUM(R$5:R178),0)</f>
        <v>243773.40510068837</v>
      </c>
      <c r="P179" s="67">
        <f t="shared" si="180"/>
        <v>360</v>
      </c>
      <c r="Q179" s="127" t="str">
        <f>IF(AND(K179&gt;0,K179&lt;=Dane_kredytowe!F$16),"tak","nie")</f>
        <v>nie</v>
      </c>
      <c r="R179" s="69"/>
      <c r="S179" s="86">
        <f>IF(Dane_kredytowe!F$19=B179,O178+V178,_xlfn.XLOOKUP(B179,Dane_kredytowe!M$9:M$18,Dane_kredytowe!N$9:N$18,0))</f>
        <v>0</v>
      </c>
      <c r="T179" s="71">
        <f t="shared" si="133"/>
        <v>-459.10657960629641</v>
      </c>
      <c r="U179" s="72">
        <f>IF(Q179="tak",T179,IF(P179-SUM(AB$5:AB179)+1&gt;0,IF(Dane_kredytowe!F$9&lt;B179,IF(SUM(AB$5:AB179)-Dane_kredytowe!F$16+1&gt;0,PMT(M179/12,P179+1-SUM(AB$5:AB179),O179),T179),0),0))</f>
        <v>-1179.6465179686779</v>
      </c>
      <c r="V179" s="72">
        <f t="shared" si="155"/>
        <v>-720.53993836238146</v>
      </c>
      <c r="W179" s="19" t="str">
        <f t="shared" si="156"/>
        <v xml:space="preserve"> </v>
      </c>
      <c r="X179" s="19">
        <f t="shared" si="169"/>
        <v>0</v>
      </c>
      <c r="Y179" s="73">
        <f t="shared" si="134"/>
        <v>-145.58952177764007</v>
      </c>
      <c r="Z179" s="19">
        <f>IF(P179-SUM(AB$5:AB179)+1&gt;0,IF(Dane_kredytowe!F$9&lt;B179,IF(SUM(AB$5:AB179)-Dane_kredytowe!F$16+1&gt;0,PMT(M179/12,P179+1-SUM(AB$5:AB179),N179),Y179),0),0)</f>
        <v>-374.08344825943493</v>
      </c>
      <c r="AA179" s="19">
        <f t="shared" si="187"/>
        <v>-228.49392648179486</v>
      </c>
      <c r="AB179" s="20">
        <f>IF(AND(Dane_kredytowe!F$9&lt;B179,SUM(AB$5:AB178)&lt;P178),1," ")</f>
        <v>1</v>
      </c>
      <c r="AD179" s="75">
        <f>IF(OR(B179&lt;Dane_kredytowe!F$15,Dane_kredytowe!F$15=""),-F179+S179,0)</f>
        <v>0</v>
      </c>
      <c r="AE179" s="75">
        <f t="shared" si="135"/>
        <v>374.08344825943493</v>
      </c>
      <c r="AG179" s="22">
        <f>Dane_kredytowe!F$17-SUM(AI$5:AI178)+SUM(W$42:W179)-SUM(X$42:X179)</f>
        <v>69236.980000000054</v>
      </c>
      <c r="AH179" s="22">
        <f t="shared" si="136"/>
        <v>130.4</v>
      </c>
      <c r="AI179" s="22">
        <f t="shared" si="137"/>
        <v>264.26</v>
      </c>
      <c r="AJ179" s="22">
        <f t="shared" si="188"/>
        <v>394.65999999999997</v>
      </c>
      <c r="AK179" s="22">
        <f t="shared" si="138"/>
        <v>1644.9</v>
      </c>
      <c r="AL179" s="22">
        <f>Dane_kredytowe!F$8-SUM(AN$5:AN178)+SUM(R$42:R178)-SUM(S$42:S179)</f>
        <v>218333.65999999986</v>
      </c>
      <c r="AM179" s="22">
        <f t="shared" si="139"/>
        <v>411.2</v>
      </c>
      <c r="AN179" s="22">
        <f t="shared" si="140"/>
        <v>833.33</v>
      </c>
      <c r="AO179" s="22">
        <f t="shared" si="189"/>
        <v>1244.53</v>
      </c>
      <c r="AP179" s="22">
        <f t="shared" si="190"/>
        <v>400.37000000000012</v>
      </c>
      <c r="AR179" s="87">
        <f t="shared" si="141"/>
        <v>42552</v>
      </c>
      <c r="AS179" s="23">
        <f>AS$5+SUM(AV$5:AV178)-SUM(X$5:X179)+SUM(W$5:W179)</f>
        <v>112994.06929669435</v>
      </c>
      <c r="AT179" s="22">
        <f t="shared" si="142"/>
        <v>-212.80549717544102</v>
      </c>
      <c r="AU179" s="22">
        <f>IF(AB179=1,IF(Q179="tak",AT179,PMT(M179/12,P179+1-SUM(AB$5:AB179),AS179)),0)</f>
        <v>-546.79082134452494</v>
      </c>
      <c r="AV179" s="22">
        <f t="shared" si="177"/>
        <v>-333.98532416908392</v>
      </c>
      <c r="AW179" s="22">
        <f t="shared" si="143"/>
        <v>-2212.5890585706202</v>
      </c>
      <c r="AY179" s="23">
        <f>AY$5+SUM(BA$5:BA178)+SUM(W$5:W178)-SUM(X$5:X178)</f>
        <v>101201.81143784185</v>
      </c>
      <c r="AZ179" s="23">
        <f t="shared" si="144"/>
        <v>-212.80549717544102</v>
      </c>
      <c r="BA179" s="23">
        <f t="shared" si="145"/>
        <v>-386.27</v>
      </c>
      <c r="BB179" s="23">
        <f t="shared" si="182"/>
        <v>-599.075497175441</v>
      </c>
      <c r="BC179" s="23">
        <f t="shared" si="146"/>
        <v>-2424.158999320422</v>
      </c>
      <c r="BE179" s="88">
        <f t="shared" si="147"/>
        <v>1.7100000000000001E-2</v>
      </c>
      <c r="BF179" s="89">
        <f>BE179+Dane_kredytowe!F$12</f>
        <v>4.7100000000000003E-2</v>
      </c>
      <c r="BG179" s="23">
        <f>BG$5+SUM(BH$5:BH178)+SUM(R$5:R178)-SUM(S$5:S178)</f>
        <v>264954.94324612693</v>
      </c>
      <c r="BH179" s="22">
        <f t="shared" si="191"/>
        <v>-580.7090871407454</v>
      </c>
      <c r="BI179" s="22">
        <f t="shared" si="192"/>
        <v>-1039.9481522410483</v>
      </c>
      <c r="BJ179" s="22">
        <f>IF(U179&lt;0,PMT(BF179/12,Dane_kredytowe!F$13-SUM(AB$5:AB179)+1,BG179),0)</f>
        <v>-1620.6572393817937</v>
      </c>
      <c r="BL179" s="23">
        <f>BL$5+SUM(BN$5:BN178)+SUM(R$5:R178)-SUM(S$5:S178)</f>
        <v>218333.33333333337</v>
      </c>
      <c r="BM179" s="23">
        <f t="shared" si="129"/>
        <v>-856.95833333333348</v>
      </c>
      <c r="BN179" s="23">
        <f t="shared" si="148"/>
        <v>-833.33333333333348</v>
      </c>
      <c r="BO179" s="23">
        <f t="shared" si="179"/>
        <v>-1690.291666666667</v>
      </c>
      <c r="BQ179" s="89">
        <f t="shared" si="149"/>
        <v>3.3799999999999997E-2</v>
      </c>
      <c r="BR179" s="23">
        <f>BR$5+SUM(BS$5:BS178)+SUM(R$5:R178)-SUM(S$5:S178)+SUM(BV$5:BV178)</f>
        <v>301291.70201730926</v>
      </c>
      <c r="BS179" s="22">
        <f t="shared" si="163"/>
        <v>-778.91781250947031</v>
      </c>
      <c r="BT179" s="22">
        <f t="shared" si="164"/>
        <v>-848.63829401542091</v>
      </c>
      <c r="BU179" s="22">
        <f>IF(U179&lt;0,PMT(BQ179/12,Dane_kredytowe!F$13-SUM(AB$5:AB179)+1,BR179),0)</f>
        <v>-1627.5561065248912</v>
      </c>
      <c r="BV179" s="22">
        <f t="shared" si="157"/>
        <v>68.415572941633854</v>
      </c>
      <c r="BX179" s="23">
        <f>BX$5+SUM(BZ$5:BZ178)+SUM(R$5:R178)-SUM(S$5:S178)+SUM(CB$5,CB178)</f>
        <v>218070.89648865629</v>
      </c>
      <c r="BY179" s="22">
        <f t="shared" si="150"/>
        <v>-614.23302510971519</v>
      </c>
      <c r="BZ179" s="22">
        <f t="shared" si="151"/>
        <v>-832.33166598723778</v>
      </c>
      <c r="CA179" s="22">
        <f t="shared" si="165"/>
        <v>-1446.5646910969531</v>
      </c>
      <c r="CB179" s="22">
        <f t="shared" si="166"/>
        <v>-112.57584248630428</v>
      </c>
      <c r="CD179" s="22">
        <f>CD$5+SUM(CE$5:CE178)+SUM(R$5:R178)-SUM(S$5:S178)-SUM(CF$5:CF178)</f>
        <v>280908.98354299489</v>
      </c>
      <c r="CE179" s="22">
        <f t="shared" si="158"/>
        <v>614.23302510971519</v>
      </c>
      <c r="CF179" s="22">
        <f t="shared" si="152"/>
        <v>1559.1405335832574</v>
      </c>
      <c r="CG179" s="22">
        <f t="shared" si="159"/>
        <v>944.90750847354218</v>
      </c>
      <c r="CI179" s="89">
        <f t="shared" si="153"/>
        <v>0.48330000000000001</v>
      </c>
      <c r="CJ179" s="22">
        <f t="shared" si="154"/>
        <v>-753.53</v>
      </c>
      <c r="CK179" s="15">
        <f t="shared" si="160"/>
        <v>0</v>
      </c>
      <c r="CM179" s="22">
        <f t="shared" si="161"/>
        <v>-137410.56548817162</v>
      </c>
      <c r="CN179" s="15">
        <f t="shared" si="167"/>
        <v>-195.81005582064458</v>
      </c>
    </row>
    <row r="180" spans="1:92">
      <c r="A180" s="25"/>
      <c r="B180" s="80">
        <v>42583</v>
      </c>
      <c r="C180" s="81">
        <f t="shared" si="131"/>
        <v>3.9548999999999999</v>
      </c>
      <c r="D180" s="82">
        <f t="shared" si="162"/>
        <v>4.0735469999999996</v>
      </c>
      <c r="E180" s="73">
        <f t="shared" si="183"/>
        <v>-374.08344825943493</v>
      </c>
      <c r="F180" s="19">
        <f t="shared" si="184"/>
        <v>-1523.8465084068762</v>
      </c>
      <c r="G180" s="19">
        <f t="shared" si="185"/>
        <v>-1179.6465179686779</v>
      </c>
      <c r="H180" s="19">
        <f t="shared" si="186"/>
        <v>344.19999043819826</v>
      </c>
      <c r="I180" s="62"/>
      <c r="K180" s="15">
        <f>IF(B180&lt;=Dane_kredytowe!F$9,0,K179+1)</f>
        <v>100</v>
      </c>
      <c r="L180" s="83">
        <f t="shared" si="132"/>
        <v>-7.4000000000000003E-3</v>
      </c>
      <c r="M180" s="84">
        <f>L180+Dane_kredytowe!F$12</f>
        <v>2.2599999999999999E-2</v>
      </c>
      <c r="N180" s="79">
        <f>MAX(Dane_kredytowe!F$17+SUM(AA$5:AA179)-SUM(X$5:X180)+SUM(W$5:W180),0)</f>
        <v>77075.676928902321</v>
      </c>
      <c r="O180" s="85">
        <f>MAX(Dane_kredytowe!F$8+SUM(V$5:V179)-SUM(S$5:S180)+SUM(R$5:R179),0)</f>
        <v>243052.86516232599</v>
      </c>
      <c r="P180" s="67">
        <f t="shared" si="180"/>
        <v>360</v>
      </c>
      <c r="Q180" s="127" t="str">
        <f>IF(AND(K180&gt;0,K180&lt;=Dane_kredytowe!F$16),"tak","nie")</f>
        <v>nie</v>
      </c>
      <c r="R180" s="69"/>
      <c r="S180" s="86">
        <f>IF(Dane_kredytowe!F$19=B180,O179+V179,_xlfn.XLOOKUP(B180,Dane_kredytowe!M$9:M$18,Dane_kredytowe!N$9:N$18,0))</f>
        <v>0</v>
      </c>
      <c r="T180" s="71">
        <f t="shared" si="133"/>
        <v>-457.74956272238063</v>
      </c>
      <c r="U180" s="72">
        <f>IF(Q180="tak",T180,IF(P180-SUM(AB$5:AB180)+1&gt;0,IF(Dane_kredytowe!F$9&lt;B180,IF(SUM(AB$5:AB180)-Dane_kredytowe!F$16+1&gt;0,PMT(M180/12,P180+1-SUM(AB$5:AB180),O180),T180),0),0))</f>
        <v>-1179.6465179686779</v>
      </c>
      <c r="V180" s="72">
        <f t="shared" si="155"/>
        <v>-721.89695524629724</v>
      </c>
      <c r="W180" s="19" t="str">
        <f t="shared" si="156"/>
        <v xml:space="preserve"> </v>
      </c>
      <c r="X180" s="19">
        <f t="shared" si="169"/>
        <v>0</v>
      </c>
      <c r="Y180" s="73">
        <f t="shared" si="134"/>
        <v>-145.15919154943271</v>
      </c>
      <c r="Z180" s="19">
        <f>IF(P180-SUM(AB$5:AB180)+1&gt;0,IF(Dane_kredytowe!F$9&lt;B180,IF(SUM(AB$5:AB180)-Dane_kredytowe!F$16+1&gt;0,PMT(M180/12,P180+1-SUM(AB$5:AB180),N180),Y180),0),0)</f>
        <v>-374.08344825943493</v>
      </c>
      <c r="AA180" s="19">
        <f t="shared" si="187"/>
        <v>-228.92425671000223</v>
      </c>
      <c r="AB180" s="20">
        <f>IF(AND(Dane_kredytowe!F$9&lt;B180,SUM(AB$5:AB179)&lt;P179),1," ")</f>
        <v>1</v>
      </c>
      <c r="AD180" s="75">
        <f>IF(OR(B180&lt;Dane_kredytowe!F$15,Dane_kredytowe!F$15=""),-F180+S180,0)</f>
        <v>0</v>
      </c>
      <c r="AE180" s="75">
        <f t="shared" si="135"/>
        <v>374.08344825943493</v>
      </c>
      <c r="AG180" s="22">
        <f>Dane_kredytowe!F$17-SUM(AI$5:AI179)+SUM(W$42:W180)-SUM(X$42:X180)</f>
        <v>68972.720000000059</v>
      </c>
      <c r="AH180" s="22">
        <f t="shared" si="136"/>
        <v>129.9</v>
      </c>
      <c r="AI180" s="22">
        <f t="shared" si="137"/>
        <v>264.26</v>
      </c>
      <c r="AJ180" s="22">
        <f t="shared" si="188"/>
        <v>394.15999999999997</v>
      </c>
      <c r="AK180" s="22">
        <f t="shared" si="138"/>
        <v>1605.63</v>
      </c>
      <c r="AL180" s="22">
        <f>Dane_kredytowe!F$8-SUM(AN$5:AN179)+SUM(R$42:R179)-SUM(S$42:S180)</f>
        <v>217500.32999999987</v>
      </c>
      <c r="AM180" s="22">
        <f t="shared" si="139"/>
        <v>409.63</v>
      </c>
      <c r="AN180" s="22">
        <f t="shared" si="140"/>
        <v>833.33</v>
      </c>
      <c r="AO180" s="22">
        <f t="shared" si="189"/>
        <v>1242.96</v>
      </c>
      <c r="AP180" s="22">
        <f t="shared" si="190"/>
        <v>362.67000000000007</v>
      </c>
      <c r="AR180" s="87">
        <f t="shared" si="141"/>
        <v>42583</v>
      </c>
      <c r="AS180" s="23">
        <f>AS$5+SUM(AV$5:AV179)-SUM(X$5:X180)+SUM(W$5:W180)</f>
        <v>112660.08397252526</v>
      </c>
      <c r="AT180" s="22">
        <f t="shared" si="142"/>
        <v>-212.17649148158921</v>
      </c>
      <c r="AU180" s="22">
        <f>IF(AB180=1,IF(Q180="tak",AT180,PMT(M180/12,P180+1-SUM(AB$5:AB180),AS180)),0)</f>
        <v>-546.79082134452494</v>
      </c>
      <c r="AV180" s="22">
        <f t="shared" si="177"/>
        <v>-334.61432986293573</v>
      </c>
      <c r="AW180" s="22">
        <f t="shared" si="143"/>
        <v>-2162.5030193354614</v>
      </c>
      <c r="AY180" s="23">
        <f>AY$5+SUM(BA$5:BA179)+SUM(W$5:W179)-SUM(X$5:X179)</f>
        <v>100815.54143784186</v>
      </c>
      <c r="AZ180" s="23">
        <f t="shared" si="144"/>
        <v>-212.17649148158921</v>
      </c>
      <c r="BA180" s="23">
        <f t="shared" si="145"/>
        <v>-386.27</v>
      </c>
      <c r="BB180" s="23">
        <f t="shared" si="182"/>
        <v>-598.44649148158919</v>
      </c>
      <c r="BC180" s="23">
        <f t="shared" si="146"/>
        <v>-2366.7960291605368</v>
      </c>
      <c r="BE180" s="88">
        <f t="shared" si="147"/>
        <v>1.7100000000000001E-2</v>
      </c>
      <c r="BF180" s="89">
        <f>BE180+Dane_kredytowe!F$12</f>
        <v>4.7100000000000003E-2</v>
      </c>
      <c r="BG180" s="23">
        <f>BG$5+SUM(BH$5:BH179)+SUM(R$5:R179)-SUM(S$5:S179)</f>
        <v>264374.23415898619</v>
      </c>
      <c r="BH180" s="22">
        <f t="shared" si="191"/>
        <v>-582.98837030777281</v>
      </c>
      <c r="BI180" s="22">
        <f t="shared" si="192"/>
        <v>-1037.6688690740209</v>
      </c>
      <c r="BJ180" s="22">
        <f>IF(U180&lt;0,PMT(BF180/12,Dane_kredytowe!F$13-SUM(AB$5:AB180)+1,BG180),0)</f>
        <v>-1620.6572393817937</v>
      </c>
      <c r="BL180" s="23">
        <f>BL$5+SUM(BN$5:BN179)+SUM(R$5:R179)-SUM(S$5:S179)</f>
        <v>217500.00000000003</v>
      </c>
      <c r="BM180" s="23">
        <f t="shared" si="129"/>
        <v>-853.68750000000011</v>
      </c>
      <c r="BN180" s="23">
        <f t="shared" si="148"/>
        <v>-833.33333333333348</v>
      </c>
      <c r="BO180" s="23">
        <f t="shared" si="179"/>
        <v>-1687.0208333333335</v>
      </c>
      <c r="BQ180" s="89">
        <f t="shared" si="149"/>
        <v>3.3799999999999997E-2</v>
      </c>
      <c r="BR180" s="23">
        <f>BR$5+SUM(BS$5:BS179)+SUM(R$5:R179)-SUM(S$5:S179)+SUM(BV$5:BV179)</f>
        <v>300581.19977774145</v>
      </c>
      <c r="BS180" s="22">
        <f t="shared" si="163"/>
        <v>-781.28959441616917</v>
      </c>
      <c r="BT180" s="22">
        <f t="shared" si="164"/>
        <v>-846.63704604063832</v>
      </c>
      <c r="BU180" s="22">
        <f>IF(U180&lt;0,PMT(BQ180/12,Dane_kredytowe!F$13-SUM(AB$5:AB180)+1,BR180),0)</f>
        <v>-1627.9266404568075</v>
      </c>
      <c r="BV180" s="22">
        <f t="shared" si="157"/>
        <v>104.08013204993131</v>
      </c>
      <c r="BX180" s="23">
        <f>BX$5+SUM(BZ$5:BZ179)+SUM(R$5:R179)-SUM(S$5:S179)+SUM(CB$5,CB179)</f>
        <v>217236.24262089163</v>
      </c>
      <c r="BY180" s="22">
        <f t="shared" si="150"/>
        <v>-611.88208338217805</v>
      </c>
      <c r="BZ180" s="22">
        <f t="shared" si="151"/>
        <v>-832.32276866242</v>
      </c>
      <c r="CA180" s="22">
        <f t="shared" si="165"/>
        <v>-1444.2048520445981</v>
      </c>
      <c r="CB180" s="22">
        <f t="shared" si="166"/>
        <v>-79.641656362278127</v>
      </c>
      <c r="CD180" s="22">
        <f>CD$5+SUM(CE$5:CE179)+SUM(R$5:R179)-SUM(S$5:S179)-SUM(CF$5:CF179)</f>
        <v>279964.07603452133</v>
      </c>
      <c r="CE180" s="22">
        <f t="shared" si="158"/>
        <v>611.88208338217805</v>
      </c>
      <c r="CF180" s="22">
        <f t="shared" si="152"/>
        <v>1523.8465084068762</v>
      </c>
      <c r="CG180" s="22">
        <f t="shared" si="159"/>
        <v>911.96442502469813</v>
      </c>
      <c r="CI180" s="89">
        <f t="shared" si="153"/>
        <v>0.48630000000000001</v>
      </c>
      <c r="CJ180" s="22">
        <f t="shared" si="154"/>
        <v>-741.05</v>
      </c>
      <c r="CK180" s="15">
        <f t="shared" si="160"/>
        <v>0</v>
      </c>
      <c r="CM180" s="22">
        <f t="shared" si="161"/>
        <v>-138934.41199657851</v>
      </c>
      <c r="CN180" s="15">
        <f t="shared" si="167"/>
        <v>-197.98153709512439</v>
      </c>
    </row>
    <row r="181" spans="1:92">
      <c r="A181" s="25"/>
      <c r="B181" s="80">
        <v>42614</v>
      </c>
      <c r="C181" s="81">
        <f t="shared" si="131"/>
        <v>3.9586000000000001</v>
      </c>
      <c r="D181" s="82">
        <f t="shared" si="162"/>
        <v>4.0773580000000003</v>
      </c>
      <c r="E181" s="73">
        <f t="shared" si="183"/>
        <v>-374.08344825943499</v>
      </c>
      <c r="F181" s="19">
        <f t="shared" si="184"/>
        <v>-1525.2721404281933</v>
      </c>
      <c r="G181" s="19">
        <f t="shared" si="185"/>
        <v>-1179.6465179686779</v>
      </c>
      <c r="H181" s="19">
        <f t="shared" si="186"/>
        <v>345.6256224595154</v>
      </c>
      <c r="I181" s="62"/>
      <c r="K181" s="15">
        <f>IF(B181&lt;=Dane_kredytowe!F$9,0,K180+1)</f>
        <v>101</v>
      </c>
      <c r="L181" s="83">
        <f t="shared" si="132"/>
        <v>-7.4000000000000003E-3</v>
      </c>
      <c r="M181" s="84">
        <f>L181+Dane_kredytowe!F$12</f>
        <v>2.2599999999999999E-2</v>
      </c>
      <c r="N181" s="79">
        <f>MAX(Dane_kredytowe!F$17+SUM(AA$5:AA180)-SUM(X$5:X181)+SUM(W$5:W181),0)</f>
        <v>76846.75267219232</v>
      </c>
      <c r="O181" s="85">
        <f>MAX(Dane_kredytowe!F$8+SUM(V$5:V180)-SUM(S$5:S181)+SUM(R$5:R180),0)</f>
        <v>242330.96820707968</v>
      </c>
      <c r="P181" s="67">
        <f t="shared" si="180"/>
        <v>360</v>
      </c>
      <c r="Q181" s="127" t="str">
        <f>IF(AND(K181&gt;0,K181&lt;=Dane_kredytowe!F$16),"tak","nie")</f>
        <v>nie</v>
      </c>
      <c r="R181" s="69"/>
      <c r="S181" s="86">
        <f>IF(Dane_kredytowe!F$19=B181,O180+V180,_xlfn.XLOOKUP(B181,Dane_kredytowe!M$9:M$18,Dane_kredytowe!N$9:N$18,0))</f>
        <v>0</v>
      </c>
      <c r="T181" s="71">
        <f t="shared" si="133"/>
        <v>-456.38999012333335</v>
      </c>
      <c r="U181" s="72">
        <f>IF(Q181="tak",T181,IF(P181-SUM(AB$5:AB181)+1&gt;0,IF(Dane_kredytowe!F$9&lt;B181,IF(SUM(AB$5:AB181)-Dane_kredytowe!F$16+1&gt;0,PMT(M181/12,P181+1-SUM(AB$5:AB181),O181),T181),0),0))</f>
        <v>-1179.6465179686779</v>
      </c>
      <c r="V181" s="72">
        <f t="shared" si="155"/>
        <v>-723.25652784534464</v>
      </c>
      <c r="W181" s="19" t="str">
        <f t="shared" si="156"/>
        <v xml:space="preserve"> </v>
      </c>
      <c r="X181" s="19">
        <f t="shared" si="169"/>
        <v>0</v>
      </c>
      <c r="Y181" s="73">
        <f t="shared" si="134"/>
        <v>-144.72805086596219</v>
      </c>
      <c r="Z181" s="19">
        <f>IF(P181-SUM(AB$5:AB181)+1&gt;0,IF(Dane_kredytowe!F$9&lt;B181,IF(SUM(AB$5:AB181)-Dane_kredytowe!F$16+1&gt;0,PMT(M181/12,P181+1-SUM(AB$5:AB181),N181),Y181),0),0)</f>
        <v>-374.08344825943499</v>
      </c>
      <c r="AA181" s="19">
        <f t="shared" si="187"/>
        <v>-229.3553973934728</v>
      </c>
      <c r="AB181" s="20">
        <f>IF(AND(Dane_kredytowe!F$9&lt;B181,SUM(AB$5:AB180)&lt;P180),1," ")</f>
        <v>1</v>
      </c>
      <c r="AD181" s="75">
        <f>IF(OR(B181&lt;Dane_kredytowe!F$15,Dane_kredytowe!F$15=""),-F181+S181,0)</f>
        <v>0</v>
      </c>
      <c r="AE181" s="75">
        <f t="shared" si="135"/>
        <v>374.08344825943499</v>
      </c>
      <c r="AG181" s="22">
        <f>Dane_kredytowe!F$17-SUM(AI$5:AI180)+SUM(W$42:W181)-SUM(X$42:X181)</f>
        <v>68708.46000000005</v>
      </c>
      <c r="AH181" s="22">
        <f t="shared" si="136"/>
        <v>129.4</v>
      </c>
      <c r="AI181" s="22">
        <f t="shared" si="137"/>
        <v>264.26</v>
      </c>
      <c r="AJ181" s="22">
        <f t="shared" si="188"/>
        <v>393.65999999999997</v>
      </c>
      <c r="AK181" s="22">
        <f t="shared" si="138"/>
        <v>1605.09</v>
      </c>
      <c r="AL181" s="22">
        <f>Dane_kredytowe!F$8-SUM(AN$5:AN180)+SUM(R$42:R180)-SUM(S$42:S181)</f>
        <v>216666.99999999988</v>
      </c>
      <c r="AM181" s="22">
        <f t="shared" si="139"/>
        <v>408.06</v>
      </c>
      <c r="AN181" s="22">
        <f t="shared" si="140"/>
        <v>833.33</v>
      </c>
      <c r="AO181" s="22">
        <f t="shared" si="189"/>
        <v>1241.3900000000001</v>
      </c>
      <c r="AP181" s="22">
        <f t="shared" si="190"/>
        <v>363.69999999999982</v>
      </c>
      <c r="AR181" s="87">
        <f t="shared" si="141"/>
        <v>42614</v>
      </c>
      <c r="AS181" s="23">
        <f>AS$5+SUM(AV$5:AV180)-SUM(X$5:X181)+SUM(W$5:W181)</f>
        <v>112325.46964266233</v>
      </c>
      <c r="AT181" s="22">
        <f t="shared" si="142"/>
        <v>-211.54630116034738</v>
      </c>
      <c r="AU181" s="22">
        <f>IF(AB181=1,IF(Q181="tak",AT181,PMT(M181/12,P181+1-SUM(AB$5:AB181),AS181)),0)</f>
        <v>-546.79082134452506</v>
      </c>
      <c r="AV181" s="22">
        <f t="shared" si="177"/>
        <v>-335.24452018417765</v>
      </c>
      <c r="AW181" s="22">
        <f t="shared" si="143"/>
        <v>-2164.526145374437</v>
      </c>
      <c r="AY181" s="23">
        <f>AY$5+SUM(BA$5:BA180)+SUM(W$5:W180)-SUM(X$5:X180)</f>
        <v>100429.27143784188</v>
      </c>
      <c r="AZ181" s="23">
        <f t="shared" si="144"/>
        <v>-211.54630116034738</v>
      </c>
      <c r="BA181" s="23">
        <f t="shared" si="145"/>
        <v>-386.27</v>
      </c>
      <c r="BB181" s="23">
        <f t="shared" si="182"/>
        <v>-597.81630116034739</v>
      </c>
      <c r="BC181" s="23">
        <f t="shared" si="146"/>
        <v>-2366.5156097733511</v>
      </c>
      <c r="BE181" s="88">
        <f t="shared" si="147"/>
        <v>1.7100000000000001E-2</v>
      </c>
      <c r="BF181" s="89">
        <f>BE181+Dane_kredytowe!F$12</f>
        <v>4.7100000000000003E-2</v>
      </c>
      <c r="BG181" s="23">
        <f>BG$5+SUM(BH$5:BH180)+SUM(R$5:R180)-SUM(S$5:S180)</f>
        <v>263791.24578867841</v>
      </c>
      <c r="BH181" s="22">
        <f t="shared" si="191"/>
        <v>-585.27659966123065</v>
      </c>
      <c r="BI181" s="22">
        <f t="shared" si="192"/>
        <v>-1035.3806397205628</v>
      </c>
      <c r="BJ181" s="22">
        <f>IF(U181&lt;0,PMT(BF181/12,Dane_kredytowe!F$13-SUM(AB$5:AB181)+1,BG181),0)</f>
        <v>-1620.6572393817935</v>
      </c>
      <c r="BL181" s="23">
        <f>BL$5+SUM(BN$5:BN180)+SUM(R$5:R180)-SUM(S$5:S180)</f>
        <v>216666.66666666669</v>
      </c>
      <c r="BM181" s="23">
        <f t="shared" si="129"/>
        <v>-850.41666666666686</v>
      </c>
      <c r="BN181" s="23">
        <f t="shared" si="148"/>
        <v>-833.33333333333337</v>
      </c>
      <c r="BO181" s="23">
        <f t="shared" si="179"/>
        <v>-1683.7500000000002</v>
      </c>
      <c r="BQ181" s="89">
        <f t="shared" si="149"/>
        <v>3.3799999999999997E-2</v>
      </c>
      <c r="BR181" s="23">
        <f>BR$5+SUM(BS$5:BS180)+SUM(R$5:R180)-SUM(S$5:S180)+SUM(BV$5:BV180)</f>
        <v>299903.99031537521</v>
      </c>
      <c r="BS181" s="22">
        <f t="shared" si="163"/>
        <v>-783.76222740984122</v>
      </c>
      <c r="BT181" s="22">
        <f t="shared" si="164"/>
        <v>-844.72957272164012</v>
      </c>
      <c r="BU181" s="22">
        <f>IF(U181&lt;0,PMT(BQ181/12,Dane_kredytowe!F$13-SUM(AB$5:AB181)+1,BR181),0)</f>
        <v>-1628.4918001314813</v>
      </c>
      <c r="BV181" s="22">
        <f t="shared" si="157"/>
        <v>103.21965970328802</v>
      </c>
      <c r="BX181" s="23">
        <f>BX$5+SUM(BZ$5:BZ180)+SUM(R$5:R180)-SUM(S$5:S180)+SUM(CB$5,CB180)</f>
        <v>216436.85403835325</v>
      </c>
      <c r="BY181" s="22">
        <f t="shared" si="150"/>
        <v>-609.63047220802821</v>
      </c>
      <c r="BZ181" s="22">
        <f t="shared" si="151"/>
        <v>-832.44943860905096</v>
      </c>
      <c r="CA181" s="22">
        <f t="shared" si="165"/>
        <v>-1442.0799108170791</v>
      </c>
      <c r="CB181" s="22">
        <f t="shared" si="166"/>
        <v>-83.192229611114271</v>
      </c>
      <c r="CD181" s="22">
        <f>CD$5+SUM(CE$5:CE180)+SUM(R$5:R180)-SUM(S$5:S180)-SUM(CF$5:CF180)</f>
        <v>279052.11160949658</v>
      </c>
      <c r="CE181" s="22">
        <f t="shared" si="158"/>
        <v>609.63047220802821</v>
      </c>
      <c r="CF181" s="22">
        <f t="shared" si="152"/>
        <v>1525.2721404281933</v>
      </c>
      <c r="CG181" s="22">
        <f t="shared" si="159"/>
        <v>915.64166822016512</v>
      </c>
      <c r="CI181" s="89">
        <f t="shared" si="153"/>
        <v>0.48630000000000001</v>
      </c>
      <c r="CJ181" s="22">
        <f t="shared" si="154"/>
        <v>-741.74</v>
      </c>
      <c r="CK181" s="15">
        <f t="shared" si="160"/>
        <v>0</v>
      </c>
      <c r="CM181" s="22">
        <f t="shared" si="161"/>
        <v>-140459.6841370067</v>
      </c>
      <c r="CN181" s="15">
        <f t="shared" si="167"/>
        <v>-200.15504989523455</v>
      </c>
    </row>
    <row r="182" spans="1:92">
      <c r="A182" s="25"/>
      <c r="B182" s="80">
        <v>42644</v>
      </c>
      <c r="C182" s="81">
        <f t="shared" si="131"/>
        <v>3.9615</v>
      </c>
      <c r="D182" s="82">
        <f t="shared" si="162"/>
        <v>4.0803450000000003</v>
      </c>
      <c r="E182" s="73">
        <f t="shared" si="183"/>
        <v>-374.0834482594351</v>
      </c>
      <c r="F182" s="19">
        <f t="shared" si="184"/>
        <v>-1526.3895276881449</v>
      </c>
      <c r="G182" s="19">
        <f t="shared" si="185"/>
        <v>-1179.6465179686782</v>
      </c>
      <c r="H182" s="19">
        <f t="shared" si="186"/>
        <v>346.74300971946673</v>
      </c>
      <c r="I182" s="62"/>
      <c r="K182" s="15">
        <f>IF(B182&lt;=Dane_kredytowe!F$9,0,K181+1)</f>
        <v>102</v>
      </c>
      <c r="L182" s="83">
        <f t="shared" si="132"/>
        <v>-7.4000000000000003E-3</v>
      </c>
      <c r="M182" s="84">
        <f>L182+Dane_kredytowe!F$12</f>
        <v>2.2599999999999999E-2</v>
      </c>
      <c r="N182" s="79">
        <f>MAX(Dane_kredytowe!F$17+SUM(AA$5:AA181)-SUM(X$5:X182)+SUM(W$5:W182),0)</f>
        <v>76617.397274798859</v>
      </c>
      <c r="O182" s="85">
        <f>MAX(Dane_kredytowe!F$8+SUM(V$5:V181)-SUM(S$5:S182)+SUM(R$5:R181),0)</f>
        <v>241607.71167923434</v>
      </c>
      <c r="P182" s="67">
        <f t="shared" si="180"/>
        <v>360</v>
      </c>
      <c r="Q182" s="127" t="str">
        <f>IF(AND(K182&gt;0,K182&lt;=Dane_kredytowe!F$16),"tak","nie")</f>
        <v>nie</v>
      </c>
      <c r="R182" s="69"/>
      <c r="S182" s="86">
        <f>IF(Dane_kredytowe!F$19=B182,O181+V181,_xlfn.XLOOKUP(B182,Dane_kredytowe!M$9:M$18,Dane_kredytowe!N$9:N$18,0))</f>
        <v>0</v>
      </c>
      <c r="T182" s="71">
        <f t="shared" si="133"/>
        <v>-455.02785699589134</v>
      </c>
      <c r="U182" s="72">
        <f>IF(Q182="tak",T182,IF(P182-SUM(AB$5:AB182)+1&gt;0,IF(Dane_kredytowe!F$9&lt;B182,IF(SUM(AB$5:AB182)-Dane_kredytowe!F$16+1&gt;0,PMT(M182/12,P182+1-SUM(AB$5:AB182),O182),T182),0),0))</f>
        <v>-1179.6465179686782</v>
      </c>
      <c r="V182" s="72">
        <f t="shared" si="155"/>
        <v>-724.61866097278676</v>
      </c>
      <c r="W182" s="19" t="str">
        <f t="shared" si="156"/>
        <v xml:space="preserve"> </v>
      </c>
      <c r="X182" s="19">
        <f t="shared" si="169"/>
        <v>0</v>
      </c>
      <c r="Y182" s="73">
        <f t="shared" si="134"/>
        <v>-144.29609820087117</v>
      </c>
      <c r="Z182" s="19">
        <f>IF(P182-SUM(AB$5:AB182)+1&gt;0,IF(Dane_kredytowe!F$9&lt;B182,IF(SUM(AB$5:AB182)-Dane_kredytowe!F$16+1&gt;0,PMT(M182/12,P182+1-SUM(AB$5:AB182),N182),Y182),0),0)</f>
        <v>-374.0834482594351</v>
      </c>
      <c r="AA182" s="19">
        <f t="shared" si="187"/>
        <v>-229.78735005856393</v>
      </c>
      <c r="AB182" s="20">
        <f>IF(AND(Dane_kredytowe!F$9&lt;B182,SUM(AB$5:AB181)&lt;P181),1," ")</f>
        <v>1</v>
      </c>
      <c r="AD182" s="75">
        <f>IF(OR(B182&lt;Dane_kredytowe!F$15,Dane_kredytowe!F$15=""),-F182+S182,0)</f>
        <v>0</v>
      </c>
      <c r="AE182" s="75">
        <f t="shared" si="135"/>
        <v>374.0834482594351</v>
      </c>
      <c r="AG182" s="22">
        <f>Dane_kredytowe!F$17-SUM(AI$5:AI181)+SUM(W$42:W182)-SUM(X$42:X182)</f>
        <v>68444.200000000055</v>
      </c>
      <c r="AH182" s="22">
        <f t="shared" si="136"/>
        <v>128.9</v>
      </c>
      <c r="AI182" s="22">
        <f t="shared" si="137"/>
        <v>264.26</v>
      </c>
      <c r="AJ182" s="22">
        <f t="shared" si="188"/>
        <v>393.15999999999997</v>
      </c>
      <c r="AK182" s="22">
        <f t="shared" si="138"/>
        <v>1604.23</v>
      </c>
      <c r="AL182" s="22">
        <f>Dane_kredytowe!F$8-SUM(AN$5:AN181)+SUM(R$42:R181)-SUM(S$42:S182)</f>
        <v>215833.66999999987</v>
      </c>
      <c r="AM182" s="22">
        <f t="shared" si="139"/>
        <v>406.49</v>
      </c>
      <c r="AN182" s="22">
        <f t="shared" si="140"/>
        <v>833.33</v>
      </c>
      <c r="AO182" s="22">
        <f t="shared" si="189"/>
        <v>1239.8200000000002</v>
      </c>
      <c r="AP182" s="22">
        <f t="shared" si="190"/>
        <v>364.40999999999985</v>
      </c>
      <c r="AR182" s="87">
        <f t="shared" si="141"/>
        <v>42644</v>
      </c>
      <c r="AS182" s="23">
        <f>AS$5+SUM(AV$5:AV181)-SUM(X$5:X182)+SUM(W$5:W182)</f>
        <v>111990.22512247815</v>
      </c>
      <c r="AT182" s="22">
        <f t="shared" si="142"/>
        <v>-210.91492398066717</v>
      </c>
      <c r="AU182" s="22">
        <f>IF(AB182=1,IF(Q182="tak",AT182,PMT(M182/12,P182+1-SUM(AB$5:AB182),AS182)),0)</f>
        <v>-546.79082134452506</v>
      </c>
      <c r="AV182" s="22">
        <f t="shared" si="177"/>
        <v>-335.87589736385792</v>
      </c>
      <c r="AW182" s="22">
        <f t="shared" si="143"/>
        <v>-2166.1118387563361</v>
      </c>
      <c r="AY182" s="23">
        <f>AY$5+SUM(BA$5:BA181)+SUM(W$5:W181)-SUM(X$5:X181)</f>
        <v>100043.00143784187</v>
      </c>
      <c r="AZ182" s="23">
        <f t="shared" si="144"/>
        <v>-210.91492398066717</v>
      </c>
      <c r="BA182" s="23">
        <f t="shared" si="145"/>
        <v>-386.27</v>
      </c>
      <c r="BB182" s="23">
        <f t="shared" ref="BB182:BB187" si="193">BA182+AZ182</f>
        <v>-597.18492398066712</v>
      </c>
      <c r="BC182" s="23">
        <f t="shared" si="146"/>
        <v>-2365.7480763494127</v>
      </c>
      <c r="BE182" s="88">
        <f t="shared" si="147"/>
        <v>1.72E-2</v>
      </c>
      <c r="BF182" s="89">
        <f>BE182+Dane_kredytowe!F$12</f>
        <v>4.7199999999999999E-2</v>
      </c>
      <c r="BG182" s="23">
        <f>BG$5+SUM(BH$5:BH181)+SUM(R$5:R181)-SUM(S$5:S181)</f>
        <v>263205.9691890172</v>
      </c>
      <c r="BH182" s="22">
        <f t="shared" si="191"/>
        <v>-586.83997841188329</v>
      </c>
      <c r="BI182" s="22">
        <f t="shared" si="192"/>
        <v>-1035.2768121434676</v>
      </c>
      <c r="BJ182" s="22">
        <f>IF(U182&lt;0,PMT(BF182/12,Dane_kredytowe!F$13-SUM(AB$5:AB182)+1,BG182),0)</f>
        <v>-1622.1167905553509</v>
      </c>
      <c r="BL182" s="23">
        <f>BL$5+SUM(BN$5:BN181)+SUM(R$5:R181)-SUM(S$5:S181)</f>
        <v>215833.33333333337</v>
      </c>
      <c r="BM182" s="23">
        <f t="shared" si="129"/>
        <v>-848.94444444444468</v>
      </c>
      <c r="BN182" s="23">
        <f t="shared" si="148"/>
        <v>-833.33333333333348</v>
      </c>
      <c r="BO182" s="23">
        <f t="shared" si="179"/>
        <v>-1682.2777777777783</v>
      </c>
      <c r="BQ182" s="89">
        <f t="shared" si="149"/>
        <v>3.39E-2</v>
      </c>
      <c r="BR182" s="23">
        <f>BR$5+SUM(BS$5:BS181)+SUM(R$5:R181)-SUM(S$5:S181)+SUM(BV$5:BV181)</f>
        <v>299223.44774766866</v>
      </c>
      <c r="BS182" s="22">
        <f t="shared" si="163"/>
        <v>-785.29680249922808</v>
      </c>
      <c r="BT182" s="22">
        <f t="shared" si="164"/>
        <v>-845.30623988716388</v>
      </c>
      <c r="BU182" s="22">
        <f>IF(U182&lt;0,PMT(BQ182/12,Dane_kredytowe!F$13-SUM(AB$5:AB182)+1,BR182),0)</f>
        <v>-1630.603042386392</v>
      </c>
      <c r="BV182" s="22">
        <f t="shared" si="157"/>
        <v>104.21351469824708</v>
      </c>
      <c r="BX182" s="23">
        <f>BX$5+SUM(BZ$5:BZ181)+SUM(R$5:R181)-SUM(S$5:S181)+SUM(CB$5,CB181)</f>
        <v>215600.85402649536</v>
      </c>
      <c r="BY182" s="22">
        <f t="shared" si="150"/>
        <v>-609.07241262484933</v>
      </c>
      <c r="BZ182" s="22">
        <f t="shared" si="151"/>
        <v>-832.43572983202841</v>
      </c>
      <c r="CA182" s="22">
        <f t="shared" si="165"/>
        <v>-1441.5081424568777</v>
      </c>
      <c r="CB182" s="22">
        <f t="shared" si="166"/>
        <v>-84.881385231267132</v>
      </c>
      <c r="CD182" s="22">
        <f>CD$5+SUM(CE$5:CE181)+SUM(R$5:R181)-SUM(S$5:S181)-SUM(CF$5:CF181)</f>
        <v>278136.46994127642</v>
      </c>
      <c r="CE182" s="22">
        <f t="shared" si="158"/>
        <v>609.07241262484933</v>
      </c>
      <c r="CF182" s="22">
        <f t="shared" si="152"/>
        <v>1526.3895276881449</v>
      </c>
      <c r="CG182" s="22">
        <f t="shared" si="159"/>
        <v>917.31711506329555</v>
      </c>
      <c r="CI182" s="89">
        <f t="shared" si="153"/>
        <v>0.47889999999999999</v>
      </c>
      <c r="CJ182" s="22">
        <f t="shared" si="154"/>
        <v>-730.99</v>
      </c>
      <c r="CK182" s="15">
        <f t="shared" si="160"/>
        <v>0</v>
      </c>
      <c r="CM182" s="22">
        <f t="shared" si="161"/>
        <v>-141986.07366469485</v>
      </c>
      <c r="CN182" s="15">
        <f t="shared" si="167"/>
        <v>-203.51337225272928</v>
      </c>
    </row>
    <row r="183" spans="1:92">
      <c r="A183" s="25"/>
      <c r="B183" s="80">
        <v>42675</v>
      </c>
      <c r="C183" s="81">
        <f t="shared" si="131"/>
        <v>4.0749000000000004</v>
      </c>
      <c r="D183" s="82">
        <f t="shared" si="162"/>
        <v>4.1971470000000002</v>
      </c>
      <c r="E183" s="73">
        <f t="shared" si="183"/>
        <v>-374.08344825943499</v>
      </c>
      <c r="F183" s="19">
        <f t="shared" si="184"/>
        <v>-1570.0832226117429</v>
      </c>
      <c r="G183" s="19">
        <f t="shared" si="185"/>
        <v>-1179.6465179686782</v>
      </c>
      <c r="H183" s="19">
        <f t="shared" si="186"/>
        <v>390.43670464306479</v>
      </c>
      <c r="I183" s="62"/>
      <c r="K183" s="15">
        <f>IF(B183&lt;=Dane_kredytowe!F$9,0,K182+1)</f>
        <v>103</v>
      </c>
      <c r="L183" s="83">
        <f t="shared" si="132"/>
        <v>-7.4000000000000003E-3</v>
      </c>
      <c r="M183" s="84">
        <f>L183+Dane_kredytowe!F$12</f>
        <v>2.2599999999999999E-2</v>
      </c>
      <c r="N183" s="79">
        <f>MAX(Dane_kredytowe!F$17+SUM(AA$5:AA182)-SUM(X$5:X183)+SUM(W$5:W183),0)</f>
        <v>76387.609924740289</v>
      </c>
      <c r="O183" s="85">
        <f>MAX(Dane_kredytowe!F$8+SUM(V$5:V182)-SUM(S$5:S183)+SUM(R$5:R182),0)</f>
        <v>240883.09301826157</v>
      </c>
      <c r="P183" s="67">
        <f t="shared" si="180"/>
        <v>360</v>
      </c>
      <c r="Q183" s="127" t="str">
        <f>IF(AND(K183&gt;0,K183&lt;=Dane_kredytowe!F$16),"tak","nie")</f>
        <v>nie</v>
      </c>
      <c r="R183" s="69"/>
      <c r="S183" s="86">
        <f>IF(Dane_kredytowe!F$19=B183,O182+V182,_xlfn.XLOOKUP(B183,Dane_kredytowe!M$9:M$18,Dane_kredytowe!N$9:N$18,0))</f>
        <v>0</v>
      </c>
      <c r="T183" s="71">
        <f t="shared" si="133"/>
        <v>-453.66315851772589</v>
      </c>
      <c r="U183" s="72">
        <f>IF(Q183="tak",T183,IF(P183-SUM(AB$5:AB183)+1&gt;0,IF(Dane_kredytowe!F$9&lt;B183,IF(SUM(AB$5:AB183)-Dane_kredytowe!F$16+1&gt;0,PMT(M183/12,P183+1-SUM(AB$5:AB183),O183),T183),0),0))</f>
        <v>-1179.6465179686782</v>
      </c>
      <c r="V183" s="72">
        <f t="shared" si="155"/>
        <v>-725.98335945095232</v>
      </c>
      <c r="W183" s="19" t="str">
        <f t="shared" si="156"/>
        <v xml:space="preserve"> </v>
      </c>
      <c r="X183" s="19">
        <f t="shared" si="169"/>
        <v>0</v>
      </c>
      <c r="Y183" s="73">
        <f t="shared" si="134"/>
        <v>-143.86333202492753</v>
      </c>
      <c r="Z183" s="19">
        <f>IF(P183-SUM(AB$5:AB183)+1&gt;0,IF(Dane_kredytowe!F$9&lt;B183,IF(SUM(AB$5:AB183)-Dane_kredytowe!F$16+1&gt;0,PMT(M183/12,P183+1-SUM(AB$5:AB183),N183),Y183),0),0)</f>
        <v>-374.08344825943499</v>
      </c>
      <c r="AA183" s="19">
        <f t="shared" si="187"/>
        <v>-230.22011623450746</v>
      </c>
      <c r="AB183" s="20">
        <f>IF(AND(Dane_kredytowe!F$9&lt;B183,SUM(AB$5:AB182)&lt;P182),1," ")</f>
        <v>1</v>
      </c>
      <c r="AD183" s="75">
        <f>IF(OR(B183&lt;Dane_kredytowe!F$15,Dane_kredytowe!F$15=""),-F183+S183,0)</f>
        <v>0</v>
      </c>
      <c r="AE183" s="75">
        <f t="shared" si="135"/>
        <v>374.08344825943499</v>
      </c>
      <c r="AG183" s="22">
        <f>Dane_kredytowe!F$17-SUM(AI$5:AI182)+SUM(W$42:W183)-SUM(X$42:X183)</f>
        <v>68179.940000000061</v>
      </c>
      <c r="AH183" s="22">
        <f t="shared" si="136"/>
        <v>128.41</v>
      </c>
      <c r="AI183" s="22">
        <f t="shared" si="137"/>
        <v>264.26</v>
      </c>
      <c r="AJ183" s="22">
        <f t="shared" si="188"/>
        <v>392.66999999999996</v>
      </c>
      <c r="AK183" s="22">
        <f t="shared" si="138"/>
        <v>1648.09</v>
      </c>
      <c r="AL183" s="22">
        <f>Dane_kredytowe!F$8-SUM(AN$5:AN182)+SUM(R$42:R182)-SUM(S$42:S183)</f>
        <v>215000.33999999985</v>
      </c>
      <c r="AM183" s="22">
        <f t="shared" si="139"/>
        <v>404.92</v>
      </c>
      <c r="AN183" s="22">
        <f t="shared" si="140"/>
        <v>833.33</v>
      </c>
      <c r="AO183" s="22">
        <f t="shared" si="189"/>
        <v>1238.25</v>
      </c>
      <c r="AP183" s="22">
        <f t="shared" si="190"/>
        <v>409.83999999999992</v>
      </c>
      <c r="AR183" s="87">
        <f t="shared" si="141"/>
        <v>42675</v>
      </c>
      <c r="AS183" s="23">
        <f>AS$5+SUM(AV$5:AV182)-SUM(X$5:X183)+SUM(W$5:W183)</f>
        <v>111654.3492251143</v>
      </c>
      <c r="AT183" s="22">
        <f t="shared" si="142"/>
        <v>-210.28235770729859</v>
      </c>
      <c r="AU183" s="22">
        <f>IF(AB183=1,IF(Q183="tak",AT183,PMT(M183/12,P183+1-SUM(AB$5:AB183),AS183)),0)</f>
        <v>-546.79082134452506</v>
      </c>
      <c r="AV183" s="22">
        <f t="shared" si="177"/>
        <v>-336.50846363722644</v>
      </c>
      <c r="AW183" s="22">
        <f t="shared" si="143"/>
        <v>-2228.1179178968055</v>
      </c>
      <c r="AY183" s="23">
        <f>AY$5+SUM(BA$5:BA182)+SUM(W$5:W182)-SUM(X$5:X182)</f>
        <v>99656.731437841867</v>
      </c>
      <c r="AZ183" s="23">
        <f t="shared" si="144"/>
        <v>-210.28235770729859</v>
      </c>
      <c r="BA183" s="23">
        <f t="shared" si="145"/>
        <v>-386.27</v>
      </c>
      <c r="BB183" s="23">
        <f t="shared" si="193"/>
        <v>-596.5523577072986</v>
      </c>
      <c r="BC183" s="23">
        <f t="shared" si="146"/>
        <v>-2430.8912024214715</v>
      </c>
      <c r="BE183" s="88">
        <f t="shared" si="147"/>
        <v>1.7299999999999999E-2</v>
      </c>
      <c r="BF183" s="89">
        <f>BE183+Dane_kredytowe!F$12</f>
        <v>4.7299999999999995E-2</v>
      </c>
      <c r="BG183" s="23">
        <f>BG$5+SUM(BH$5:BH182)+SUM(R$5:R182)-SUM(S$5:S182)</f>
        <v>262619.12921060529</v>
      </c>
      <c r="BH183" s="22">
        <f t="shared" si="191"/>
        <v>-588.41544978769912</v>
      </c>
      <c r="BI183" s="22">
        <f t="shared" si="192"/>
        <v>-1035.157067638469</v>
      </c>
      <c r="BJ183" s="22">
        <f>IF(U183&lt;0,PMT(BF183/12,Dane_kredytowe!F$13-SUM(AB$5:AB183)+1,BG183),0)</f>
        <v>-1623.5725174261681</v>
      </c>
      <c r="BL183" s="23">
        <f>BL$5+SUM(BN$5:BN182)+SUM(R$5:R182)-SUM(S$5:S182)</f>
        <v>215000.00000000006</v>
      </c>
      <c r="BM183" s="23">
        <f t="shared" si="129"/>
        <v>-847.45833333333348</v>
      </c>
      <c r="BN183" s="23">
        <f t="shared" si="148"/>
        <v>-833.3333333333336</v>
      </c>
      <c r="BO183" s="23">
        <f t="shared" si="179"/>
        <v>-1680.791666666667</v>
      </c>
      <c r="BQ183" s="89">
        <f t="shared" si="149"/>
        <v>3.4000000000000002E-2</v>
      </c>
      <c r="BR183" s="23">
        <f>BR$5+SUM(BS$5:BS182)+SUM(R$5:R182)-SUM(S$5:S182)+SUM(BV$5:BV182)</f>
        <v>298542.36445986765</v>
      </c>
      <c r="BS183" s="22">
        <f t="shared" si="163"/>
        <v>-786.84792384622926</v>
      </c>
      <c r="BT183" s="22">
        <f t="shared" si="164"/>
        <v>-845.87003263629174</v>
      </c>
      <c r="BU183" s="22">
        <f>IF(U183&lt;0,PMT(BQ183/12,Dane_kredytowe!F$13-SUM(AB$5:AB183)+1,BR183),0)</f>
        <v>-1632.717956482521</v>
      </c>
      <c r="BV183" s="22">
        <f t="shared" si="157"/>
        <v>62.634733870778064</v>
      </c>
      <c r="BX183" s="23">
        <f>BX$5+SUM(BZ$5:BZ182)+SUM(R$5:R182)-SUM(S$5:S182)+SUM(CB$5,CB182)</f>
        <v>214766.72914104315</v>
      </c>
      <c r="BY183" s="22">
        <f t="shared" si="150"/>
        <v>-608.505732566289</v>
      </c>
      <c r="BZ183" s="22">
        <f t="shared" si="151"/>
        <v>-832.42918271722147</v>
      </c>
      <c r="CA183" s="22">
        <f t="shared" si="165"/>
        <v>-1440.9349152835105</v>
      </c>
      <c r="CB183" s="22">
        <f t="shared" si="166"/>
        <v>-129.14830732823248</v>
      </c>
      <c r="CD183" s="22">
        <f>CD$5+SUM(CE$5:CE182)+SUM(R$5:R182)-SUM(S$5:S182)-SUM(CF$5:CF182)</f>
        <v>277219.1528262131</v>
      </c>
      <c r="CE183" s="22">
        <f t="shared" si="158"/>
        <v>608.505732566289</v>
      </c>
      <c r="CF183" s="22">
        <f t="shared" si="152"/>
        <v>1570.0832226117429</v>
      </c>
      <c r="CG183" s="22">
        <f t="shared" si="159"/>
        <v>961.57749004545394</v>
      </c>
      <c r="CI183" s="89">
        <f t="shared" si="153"/>
        <v>0.47739999999999999</v>
      </c>
      <c r="CJ183" s="22">
        <f t="shared" si="154"/>
        <v>-749.56</v>
      </c>
      <c r="CK183" s="15">
        <f t="shared" si="160"/>
        <v>0</v>
      </c>
      <c r="CM183" s="22">
        <f t="shared" si="161"/>
        <v>-143556.1568873066</v>
      </c>
      <c r="CN183" s="15">
        <f t="shared" si="167"/>
        <v>-206.96012617920033</v>
      </c>
    </row>
    <row r="184" spans="1:92">
      <c r="A184" s="25"/>
      <c r="B184" s="80">
        <v>42705</v>
      </c>
      <c r="C184" s="81">
        <f t="shared" si="131"/>
        <v>4.1256000000000004</v>
      </c>
      <c r="D184" s="82">
        <f t="shared" si="162"/>
        <v>4.2493680000000005</v>
      </c>
      <c r="E184" s="73">
        <f t="shared" si="183"/>
        <v>-374.08344825943493</v>
      </c>
      <c r="F184" s="19">
        <f t="shared" si="184"/>
        <v>-1589.6182343632986</v>
      </c>
      <c r="G184" s="19">
        <f t="shared" si="185"/>
        <v>-1179.6465179686779</v>
      </c>
      <c r="H184" s="19">
        <f t="shared" si="186"/>
        <v>409.97171639462067</v>
      </c>
      <c r="I184" s="62"/>
      <c r="K184" s="15">
        <f>IF(B184&lt;=Dane_kredytowe!F$9,0,K183+1)</f>
        <v>104</v>
      </c>
      <c r="L184" s="83">
        <f t="shared" si="132"/>
        <v>-7.4000000000000003E-3</v>
      </c>
      <c r="M184" s="84">
        <f>L184+Dane_kredytowe!F$12</f>
        <v>2.2599999999999999E-2</v>
      </c>
      <c r="N184" s="79">
        <f>MAX(Dane_kredytowe!F$17+SUM(AA$5:AA183)-SUM(X$5:X184)+SUM(W$5:W184),0)</f>
        <v>76157.389808505774</v>
      </c>
      <c r="O184" s="85">
        <f>MAX(Dane_kredytowe!F$8+SUM(V$5:V183)-SUM(S$5:S184)+SUM(R$5:R183),0)</f>
        <v>240157.1096588106</v>
      </c>
      <c r="P184" s="67">
        <f t="shared" si="180"/>
        <v>360</v>
      </c>
      <c r="Q184" s="127" t="str">
        <f>IF(AND(K184&gt;0,K184&lt;=Dane_kredytowe!F$16),"tak","nie")</f>
        <v>nie</v>
      </c>
      <c r="R184" s="69"/>
      <c r="S184" s="86">
        <f>IF(Dane_kredytowe!F$19=B184,O183+V183,_xlfn.XLOOKUP(B184,Dane_kredytowe!M$9:M$18,Dane_kredytowe!N$9:N$18,0))</f>
        <v>0</v>
      </c>
      <c r="T184" s="71">
        <f t="shared" si="133"/>
        <v>-452.29588985742657</v>
      </c>
      <c r="U184" s="72">
        <f>IF(Q184="tak",T184,IF(P184-SUM(AB$5:AB184)+1&gt;0,IF(Dane_kredytowe!F$9&lt;B184,IF(SUM(AB$5:AB184)-Dane_kredytowe!F$16+1&gt;0,PMT(M184/12,P184+1-SUM(AB$5:AB184),O184),T184),0),0))</f>
        <v>-1179.6465179686779</v>
      </c>
      <c r="V184" s="72">
        <f t="shared" si="155"/>
        <v>-727.35062811125135</v>
      </c>
      <c r="W184" s="19" t="str">
        <f t="shared" si="156"/>
        <v xml:space="preserve"> </v>
      </c>
      <c r="X184" s="19">
        <f t="shared" si="169"/>
        <v>0</v>
      </c>
      <c r="Y184" s="73">
        <f t="shared" si="134"/>
        <v>-143.4297508060192</v>
      </c>
      <c r="Z184" s="19">
        <f>IF(P184-SUM(AB$5:AB184)+1&gt;0,IF(Dane_kredytowe!F$9&lt;B184,IF(SUM(AB$5:AB184)-Dane_kredytowe!F$16+1&gt;0,PMT(M184/12,P184+1-SUM(AB$5:AB184),N184),Y184),0),0)</f>
        <v>-374.08344825943493</v>
      </c>
      <c r="AA184" s="19">
        <f t="shared" si="187"/>
        <v>-230.65369745341573</v>
      </c>
      <c r="AB184" s="20">
        <f>IF(AND(Dane_kredytowe!F$9&lt;B184,SUM(AB$5:AB183)&lt;P183),1," ")</f>
        <v>1</v>
      </c>
      <c r="AD184" s="75">
        <f>IF(OR(B184&lt;Dane_kredytowe!F$15,Dane_kredytowe!F$15=""),-F184+S184,0)</f>
        <v>0</v>
      </c>
      <c r="AE184" s="75">
        <f t="shared" si="135"/>
        <v>374.08344825943493</v>
      </c>
      <c r="AG184" s="22">
        <f>Dane_kredytowe!F$17-SUM(AI$5:AI183)+SUM(W$42:W184)-SUM(X$42:X184)</f>
        <v>67915.680000000066</v>
      </c>
      <c r="AH184" s="22">
        <f t="shared" si="136"/>
        <v>127.91</v>
      </c>
      <c r="AI184" s="22">
        <f t="shared" si="137"/>
        <v>264.26</v>
      </c>
      <c r="AJ184" s="22">
        <f t="shared" si="188"/>
        <v>392.16999999999996</v>
      </c>
      <c r="AK184" s="22">
        <f t="shared" si="138"/>
        <v>1666.47</v>
      </c>
      <c r="AL184" s="22">
        <f>Dane_kredytowe!F$8-SUM(AN$5:AN183)+SUM(R$42:R183)-SUM(S$42:S184)</f>
        <v>214167.00999999986</v>
      </c>
      <c r="AM184" s="22">
        <f t="shared" si="139"/>
        <v>403.35</v>
      </c>
      <c r="AN184" s="22">
        <f t="shared" si="140"/>
        <v>833.33</v>
      </c>
      <c r="AO184" s="22">
        <f t="shared" si="189"/>
        <v>1236.68</v>
      </c>
      <c r="AP184" s="22">
        <f t="shared" si="190"/>
        <v>429.78999999999996</v>
      </c>
      <c r="AR184" s="87">
        <f t="shared" si="141"/>
        <v>42705</v>
      </c>
      <c r="AS184" s="23">
        <f>AS$5+SUM(AV$5:AV183)-SUM(X$5:X184)+SUM(W$5:W184)</f>
        <v>111317.84076147707</v>
      </c>
      <c r="AT184" s="22">
        <f t="shared" si="142"/>
        <v>-209.64860010078181</v>
      </c>
      <c r="AU184" s="22">
        <f>IF(AB184=1,IF(Q184="tak",AT184,PMT(M184/12,P184+1-SUM(AB$5:AB184),AS184)),0)</f>
        <v>-546.79082134452506</v>
      </c>
      <c r="AV184" s="22">
        <f t="shared" si="177"/>
        <v>-337.14222124374328</v>
      </c>
      <c r="AW184" s="22">
        <f t="shared" si="143"/>
        <v>-2255.840212538973</v>
      </c>
      <c r="AY184" s="23">
        <f>AY$5+SUM(BA$5:BA183)+SUM(W$5:W183)-SUM(X$5:X183)</f>
        <v>99270.461437841877</v>
      </c>
      <c r="AZ184" s="23">
        <f t="shared" si="144"/>
        <v>-209.64860010078181</v>
      </c>
      <c r="BA184" s="23">
        <f t="shared" si="145"/>
        <v>-386.27</v>
      </c>
      <c r="BB184" s="23">
        <f t="shared" si="193"/>
        <v>-595.91860010078176</v>
      </c>
      <c r="BC184" s="23">
        <f t="shared" si="146"/>
        <v>-2458.5217765757852</v>
      </c>
      <c r="BE184" s="88">
        <f t="shared" si="147"/>
        <v>1.7299999999999999E-2</v>
      </c>
      <c r="BF184" s="89">
        <f>BE184+Dane_kredytowe!F$12</f>
        <v>4.7299999999999995E-2</v>
      </c>
      <c r="BG184" s="23">
        <f>BG$5+SUM(BH$5:BH183)+SUM(R$5:R183)-SUM(S$5:S183)</f>
        <v>262030.7137608176</v>
      </c>
      <c r="BH184" s="22">
        <f t="shared" si="191"/>
        <v>-590.73478735227923</v>
      </c>
      <c r="BI184" s="22">
        <f t="shared" si="192"/>
        <v>-1032.8377300738891</v>
      </c>
      <c r="BJ184" s="22">
        <f>IF(U184&lt;0,PMT(BF184/12,Dane_kredytowe!F$13-SUM(AB$5:AB184)+1,BG184),0)</f>
        <v>-1623.5725174261684</v>
      </c>
      <c r="BL184" s="23">
        <f>BL$5+SUM(BN$5:BN183)+SUM(R$5:R183)-SUM(S$5:S183)</f>
        <v>214166.66666666672</v>
      </c>
      <c r="BM184" s="23">
        <f t="shared" ref="BM184:BM241" si="194">IF(AB184=1,-BF184*BL184/12,0)</f>
        <v>-844.1736111111112</v>
      </c>
      <c r="BN184" s="23">
        <f t="shared" si="148"/>
        <v>-833.33333333333348</v>
      </c>
      <c r="BO184" s="23">
        <f t="shared" si="179"/>
        <v>-1677.5069444444448</v>
      </c>
      <c r="BQ184" s="89">
        <f t="shared" si="149"/>
        <v>3.4000000000000002E-2</v>
      </c>
      <c r="BR184" s="23">
        <f>BR$5+SUM(BS$5:BS183)+SUM(R$5:R183)-SUM(S$5:S183)+SUM(BV$5:BV183)</f>
        <v>297818.15126989223</v>
      </c>
      <c r="BS184" s="22">
        <f t="shared" si="163"/>
        <v>-789.24331364443458</v>
      </c>
      <c r="BT184" s="22">
        <f t="shared" si="164"/>
        <v>-843.81809526469476</v>
      </c>
      <c r="BU184" s="22">
        <f>IF(U184&lt;0,PMT(BQ184/12,Dane_kredytowe!F$13-SUM(AB$5:AB184)+1,BR184),0)</f>
        <v>-1633.0614089091293</v>
      </c>
      <c r="BV184" s="22">
        <f t="shared" si="157"/>
        <v>43.443174545830743</v>
      </c>
      <c r="BX184" s="23">
        <f>BX$5+SUM(BZ$5:BZ183)+SUM(R$5:R183)-SUM(S$5:S183)+SUM(CB$5,CB183)</f>
        <v>213890.03303622897</v>
      </c>
      <c r="BY184" s="22">
        <f t="shared" si="150"/>
        <v>-606.02176026931545</v>
      </c>
      <c r="BZ184" s="22">
        <f t="shared" si="151"/>
        <v>-832.25693788415936</v>
      </c>
      <c r="CA184" s="22">
        <f t="shared" si="165"/>
        <v>-1438.2786981534748</v>
      </c>
      <c r="CB184" s="22">
        <f t="shared" si="166"/>
        <v>-151.33953620982379</v>
      </c>
      <c r="CD184" s="22">
        <f>CD$5+SUM(CE$5:CE183)+SUM(R$5:R183)-SUM(S$5:S183)-SUM(CF$5:CF183)</f>
        <v>276257.57533616771</v>
      </c>
      <c r="CE184" s="22">
        <f t="shared" si="158"/>
        <v>606.02176026931545</v>
      </c>
      <c r="CF184" s="22">
        <f t="shared" si="152"/>
        <v>1589.6182343632986</v>
      </c>
      <c r="CG184" s="22">
        <f t="shared" si="159"/>
        <v>983.59647409398315</v>
      </c>
      <c r="CI184" s="89">
        <f t="shared" si="153"/>
        <v>0.46710000000000002</v>
      </c>
      <c r="CJ184" s="22">
        <f t="shared" si="154"/>
        <v>-742.51</v>
      </c>
      <c r="CK184" s="15">
        <f t="shared" si="160"/>
        <v>0</v>
      </c>
      <c r="CM184" s="22">
        <f t="shared" si="161"/>
        <v>-145145.7751216699</v>
      </c>
      <c r="CN184" s="15">
        <f t="shared" si="167"/>
        <v>-209.25182580040743</v>
      </c>
    </row>
    <row r="185" spans="1:92">
      <c r="A185" s="25">
        <v>2017</v>
      </c>
      <c r="B185" s="80">
        <v>42736</v>
      </c>
      <c r="C185" s="81">
        <f t="shared" si="131"/>
        <v>4.0792000000000002</v>
      </c>
      <c r="D185" s="82">
        <f t="shared" si="162"/>
        <v>4.2015760000000002</v>
      </c>
      <c r="E185" s="73">
        <f t="shared" si="183"/>
        <v>-374.08344825943499</v>
      </c>
      <c r="F185" s="19">
        <f t="shared" si="184"/>
        <v>-1571.7400382040839</v>
      </c>
      <c r="G185" s="19">
        <f t="shared" si="185"/>
        <v>-1179.6465179686779</v>
      </c>
      <c r="H185" s="19">
        <f t="shared" si="186"/>
        <v>392.093520235406</v>
      </c>
      <c r="I185" s="62"/>
      <c r="K185" s="15">
        <f>IF(B185&lt;=Dane_kredytowe!F$9,0,K184+1)</f>
        <v>105</v>
      </c>
      <c r="L185" s="83">
        <f t="shared" si="132"/>
        <v>-7.4000000000000003E-3</v>
      </c>
      <c r="M185" s="84">
        <f>L185+Dane_kredytowe!F$12</f>
        <v>2.2599999999999999E-2</v>
      </c>
      <c r="N185" s="79">
        <f>MAX(Dane_kredytowe!F$17+SUM(AA$5:AA184)-SUM(X$5:X185)+SUM(W$5:W185),0)</f>
        <v>75926.736111052363</v>
      </c>
      <c r="O185" s="85">
        <f>MAX(Dane_kredytowe!F$8+SUM(V$5:V184)-SUM(S$5:S185)+SUM(R$5:R184),0)</f>
        <v>239429.75903069935</v>
      </c>
      <c r="P185" s="67">
        <f t="shared" si="180"/>
        <v>360</v>
      </c>
      <c r="Q185" s="127" t="str">
        <f>IF(AND(K185&gt;0,K185&lt;=Dane_kredytowe!F$16),"tak","nie")</f>
        <v>nie</v>
      </c>
      <c r="R185" s="69"/>
      <c r="S185" s="86">
        <f>IF(Dane_kredytowe!F$19=B185,O184+V184,_xlfn.XLOOKUP(B185,Dane_kredytowe!M$9:M$18,Dane_kredytowe!N$9:N$18,0))</f>
        <v>0</v>
      </c>
      <c r="T185" s="71">
        <f t="shared" si="133"/>
        <v>-450.9260461744837</v>
      </c>
      <c r="U185" s="72">
        <f>IF(Q185="tak",T185,IF(P185-SUM(AB$5:AB185)+1&gt;0,IF(Dane_kredytowe!F$9&lt;B185,IF(SUM(AB$5:AB185)-Dane_kredytowe!F$16+1&gt;0,PMT(M185/12,P185+1-SUM(AB$5:AB185),O185),T185),0),0))</f>
        <v>-1179.6465179686779</v>
      </c>
      <c r="V185" s="72">
        <f t="shared" si="155"/>
        <v>-728.72047179419428</v>
      </c>
      <c r="W185" s="19" t="str">
        <f t="shared" si="156"/>
        <v xml:space="preserve"> </v>
      </c>
      <c r="X185" s="19">
        <f t="shared" si="169"/>
        <v>0</v>
      </c>
      <c r="Y185" s="73">
        <f t="shared" si="134"/>
        <v>-142.9953530091486</v>
      </c>
      <c r="Z185" s="19">
        <f>IF(P185-SUM(AB$5:AB185)+1&gt;0,IF(Dane_kredytowe!F$9&lt;B185,IF(SUM(AB$5:AB185)-Dane_kredytowe!F$16+1&gt;0,PMT(M185/12,P185+1-SUM(AB$5:AB185),N185),Y185),0),0)</f>
        <v>-374.08344825943499</v>
      </c>
      <c r="AA185" s="19">
        <f t="shared" si="187"/>
        <v>-231.08809525028639</v>
      </c>
      <c r="AB185" s="20">
        <f>IF(AND(Dane_kredytowe!F$9&lt;B185,SUM(AB$5:AB184)&lt;P184),1," ")</f>
        <v>1</v>
      </c>
      <c r="AD185" s="75">
        <f>IF(OR(B185&lt;Dane_kredytowe!F$15,Dane_kredytowe!F$15=""),-F185+S185,0)</f>
        <v>0</v>
      </c>
      <c r="AE185" s="75">
        <f t="shared" si="135"/>
        <v>374.08344825943499</v>
      </c>
      <c r="AG185" s="22">
        <f>Dane_kredytowe!F$17-SUM(AI$5:AI184)+SUM(W$42:W185)-SUM(X$42:X185)</f>
        <v>67651.420000000071</v>
      </c>
      <c r="AH185" s="22">
        <f t="shared" si="136"/>
        <v>127.41</v>
      </c>
      <c r="AI185" s="22">
        <f t="shared" si="137"/>
        <v>264.26</v>
      </c>
      <c r="AJ185" s="22">
        <f t="shared" si="188"/>
        <v>391.66999999999996</v>
      </c>
      <c r="AK185" s="22">
        <f t="shared" si="138"/>
        <v>1645.63</v>
      </c>
      <c r="AL185" s="22">
        <f>Dane_kredytowe!F$8-SUM(AN$5:AN184)+SUM(R$42:R184)-SUM(S$42:S185)</f>
        <v>213333.67999999988</v>
      </c>
      <c r="AM185" s="22">
        <f t="shared" si="139"/>
        <v>401.78</v>
      </c>
      <c r="AN185" s="22">
        <f t="shared" si="140"/>
        <v>833.33</v>
      </c>
      <c r="AO185" s="22">
        <f t="shared" si="189"/>
        <v>1235.1100000000001</v>
      </c>
      <c r="AP185" s="22">
        <f t="shared" si="190"/>
        <v>410.52</v>
      </c>
      <c r="AR185" s="87">
        <f t="shared" si="141"/>
        <v>42736</v>
      </c>
      <c r="AS185" s="23">
        <f>AS$5+SUM(AV$5:AV184)-SUM(X$5:X185)+SUM(W$5:W185)</f>
        <v>110980.69854023332</v>
      </c>
      <c r="AT185" s="22">
        <f t="shared" si="142"/>
        <v>-209.01364891743944</v>
      </c>
      <c r="AU185" s="22">
        <f>IF(AB185=1,IF(Q185="tak",AT185,PMT(M185/12,P185+1-SUM(AB$5:AB185),AS185)),0)</f>
        <v>-546.79082134452506</v>
      </c>
      <c r="AV185" s="22">
        <f t="shared" si="177"/>
        <v>-337.77717242708559</v>
      </c>
      <c r="AW185" s="22">
        <f t="shared" si="143"/>
        <v>-2230.4691184285866</v>
      </c>
      <c r="AY185" s="23">
        <f>AY$5+SUM(BA$5:BA184)+SUM(W$5:W184)-SUM(X$5:X184)</f>
        <v>98884.191437841888</v>
      </c>
      <c r="AZ185" s="23">
        <f t="shared" si="144"/>
        <v>-209.01364891743944</v>
      </c>
      <c r="BA185" s="23">
        <f t="shared" si="145"/>
        <v>-386.27</v>
      </c>
      <c r="BB185" s="23">
        <f t="shared" si="193"/>
        <v>-595.28364891743945</v>
      </c>
      <c r="BC185" s="23">
        <f t="shared" si="146"/>
        <v>-2428.2810606640192</v>
      </c>
      <c r="BE185" s="88">
        <f t="shared" si="147"/>
        <v>1.7299999999999999E-2</v>
      </c>
      <c r="BF185" s="89">
        <f>BE185+Dane_kredytowe!F$12</f>
        <v>4.7299999999999995E-2</v>
      </c>
      <c r="BG185" s="23">
        <f>BG$5+SUM(BH$5:BH184)+SUM(R$5:R184)-SUM(S$5:S184)</f>
        <v>261439.97897346533</v>
      </c>
      <c r="BH185" s="22">
        <f t="shared" si="191"/>
        <v>-593.06326697242616</v>
      </c>
      <c r="BI185" s="22">
        <f t="shared" si="192"/>
        <v>-1030.5092504537424</v>
      </c>
      <c r="BJ185" s="22">
        <f>IF(U185&lt;0,PMT(BF185/12,Dane_kredytowe!F$13-SUM(AB$5:AB185)+1,BG185),0)</f>
        <v>-1623.5725174261686</v>
      </c>
      <c r="BL185" s="23">
        <f>BL$5+SUM(BN$5:BN184)+SUM(R$5:R184)-SUM(S$5:S184)</f>
        <v>213333.33333333337</v>
      </c>
      <c r="BM185" s="23">
        <f t="shared" si="194"/>
        <v>-840.88888888888903</v>
      </c>
      <c r="BN185" s="23">
        <f t="shared" si="148"/>
        <v>-833.33333333333348</v>
      </c>
      <c r="BO185" s="23">
        <f t="shared" si="179"/>
        <v>-1674.2222222222226</v>
      </c>
      <c r="BQ185" s="89">
        <f t="shared" si="149"/>
        <v>3.4000000000000002E-2</v>
      </c>
      <c r="BR185" s="23">
        <f>BR$5+SUM(BS$5:BS184)+SUM(R$5:R184)-SUM(S$5:S184)+SUM(BV$5:BV184)</f>
        <v>297072.35113079357</v>
      </c>
      <c r="BS185" s="22">
        <f t="shared" si="163"/>
        <v>-791.59526409633952</v>
      </c>
      <c r="BT185" s="22">
        <f t="shared" si="164"/>
        <v>-841.7049948705818</v>
      </c>
      <c r="BU185" s="22">
        <f>IF(U185&lt;0,PMT(BQ185/12,Dane_kredytowe!F$13-SUM(AB$5:AB185)+1,BR185),0)</f>
        <v>-1633.3002589669213</v>
      </c>
      <c r="BV185" s="22">
        <f t="shared" si="157"/>
        <v>61.560220762837389</v>
      </c>
      <c r="BX185" s="23">
        <f>BX$5+SUM(BZ$5:BZ184)+SUM(R$5:R184)-SUM(S$5:S184)+SUM(CB$5,CB184)</f>
        <v>213035.58486946323</v>
      </c>
      <c r="BY185" s="22">
        <f t="shared" si="150"/>
        <v>-603.60082379681251</v>
      </c>
      <c r="BZ185" s="22">
        <f t="shared" si="151"/>
        <v>-832.17025339634074</v>
      </c>
      <c r="CA185" s="22">
        <f t="shared" si="165"/>
        <v>-1435.7710771931534</v>
      </c>
      <c r="CB185" s="22">
        <f t="shared" si="166"/>
        <v>-135.96896101093057</v>
      </c>
      <c r="CD185" s="22">
        <f>CD$5+SUM(CE$5:CE184)+SUM(R$5:R184)-SUM(S$5:S184)-SUM(CF$5:CF184)</f>
        <v>275273.97886207374</v>
      </c>
      <c r="CE185" s="22">
        <f t="shared" si="158"/>
        <v>603.60082379681251</v>
      </c>
      <c r="CF185" s="22">
        <f t="shared" si="152"/>
        <v>1571.7400382040839</v>
      </c>
      <c r="CG185" s="22">
        <f t="shared" si="159"/>
        <v>968.13921440727142</v>
      </c>
      <c r="CI185" s="89">
        <f t="shared" si="153"/>
        <v>0.46129999999999999</v>
      </c>
      <c r="CJ185" s="22">
        <f t="shared" si="154"/>
        <v>-725.04</v>
      </c>
      <c r="CK185" s="15">
        <f t="shared" si="160"/>
        <v>0</v>
      </c>
      <c r="CM185" s="22">
        <f t="shared" si="161"/>
        <v>-146717.51515987399</v>
      </c>
      <c r="CN185" s="15">
        <f t="shared" si="167"/>
        <v>-211.51775102215166</v>
      </c>
    </row>
    <row r="186" spans="1:92">
      <c r="A186" s="25"/>
      <c r="B186" s="80">
        <v>42767</v>
      </c>
      <c r="C186" s="81">
        <f t="shared" si="131"/>
        <v>4.0423999999999998</v>
      </c>
      <c r="D186" s="82">
        <f t="shared" si="162"/>
        <v>4.163672</v>
      </c>
      <c r="E186" s="73">
        <f t="shared" ref="E186:E193" si="195">Z186</f>
        <v>-374.08344825943504</v>
      </c>
      <c r="F186" s="19">
        <f t="shared" ref="F186:F193" si="196">E186*D186</f>
        <v>-1557.5607791812583</v>
      </c>
      <c r="G186" s="19">
        <f t="shared" ref="G186:G193" si="197">U186</f>
        <v>-1179.6465179686782</v>
      </c>
      <c r="H186" s="19">
        <f t="shared" ref="H186:H193" si="198">G186-F186</f>
        <v>377.91426121258019</v>
      </c>
      <c r="I186" s="62"/>
      <c r="K186" s="15">
        <f>IF(B186&lt;=Dane_kredytowe!F$9,0,K185+1)</f>
        <v>106</v>
      </c>
      <c r="L186" s="83">
        <f t="shared" si="132"/>
        <v>-7.4000000000000003E-3</v>
      </c>
      <c r="M186" s="84">
        <f>L186+Dane_kredytowe!F$12</f>
        <v>2.2599999999999999E-2</v>
      </c>
      <c r="N186" s="79">
        <f>MAX(Dane_kredytowe!F$17+SUM(AA$5:AA185)-SUM(X$5:X186)+SUM(W$5:W186),0)</f>
        <v>75695.648015802086</v>
      </c>
      <c r="O186" s="85">
        <f>MAX(Dane_kredytowe!F$8+SUM(V$5:V185)-SUM(S$5:S186)+SUM(R$5:R185),0)</f>
        <v>238701.03855890516</v>
      </c>
      <c r="P186" s="67">
        <f t="shared" si="180"/>
        <v>360</v>
      </c>
      <c r="Q186" s="127" t="str">
        <f>IF(AND(K186&gt;0,K186&lt;=Dane_kredytowe!F$16),"tak","nie")</f>
        <v>nie</v>
      </c>
      <c r="R186" s="69"/>
      <c r="S186" s="86">
        <f>IF(Dane_kredytowe!F$19=B186,O185+V185,_xlfn.XLOOKUP(B186,Dane_kredytowe!M$9:M$18,Dane_kredytowe!N$9:N$18,0))</f>
        <v>0</v>
      </c>
      <c r="T186" s="71">
        <f t="shared" si="133"/>
        <v>-449.55362261927138</v>
      </c>
      <c r="U186" s="72">
        <f>IF(Q186="tak",T186,IF(P186-SUM(AB$5:AB186)+1&gt;0,IF(Dane_kredytowe!F$9&lt;B186,IF(SUM(AB$5:AB186)-Dane_kredytowe!F$16+1&gt;0,PMT(M186/12,P186+1-SUM(AB$5:AB186),O186),T186),0),0))</f>
        <v>-1179.6465179686782</v>
      </c>
      <c r="V186" s="72">
        <f t="shared" si="155"/>
        <v>-730.09289534940672</v>
      </c>
      <c r="W186" s="19" t="str">
        <f t="shared" si="156"/>
        <v xml:space="preserve"> </v>
      </c>
      <c r="X186" s="19">
        <f t="shared" si="169"/>
        <v>0</v>
      </c>
      <c r="Y186" s="73">
        <f t="shared" si="134"/>
        <v>-142.56013709642727</v>
      </c>
      <c r="Z186" s="19">
        <f>IF(P186-SUM(AB$5:AB186)+1&gt;0,IF(Dane_kredytowe!F$9&lt;B186,IF(SUM(AB$5:AB186)-Dane_kredytowe!F$16+1&gt;0,PMT(M186/12,P186+1-SUM(AB$5:AB186),N186),Y186),0),0)</f>
        <v>-374.08344825943504</v>
      </c>
      <c r="AA186" s="19">
        <f t="shared" ref="AA186:AA193" si="199">Z186-Y186</f>
        <v>-231.52331116300778</v>
      </c>
      <c r="AB186" s="20">
        <f>IF(AND(Dane_kredytowe!F$9&lt;B186,SUM(AB$5:AB185)&lt;P185),1," ")</f>
        <v>1</v>
      </c>
      <c r="AD186" s="75">
        <f>IF(OR(B186&lt;Dane_kredytowe!F$15,Dane_kredytowe!F$15=""),-F186+S186,0)</f>
        <v>0</v>
      </c>
      <c r="AE186" s="75">
        <f t="shared" si="135"/>
        <v>374.08344825943504</v>
      </c>
      <c r="AG186" s="22">
        <f>Dane_kredytowe!F$17-SUM(AI$5:AI185)+SUM(W$42:W186)-SUM(X$42:X186)</f>
        <v>67387.160000000062</v>
      </c>
      <c r="AH186" s="22">
        <f t="shared" si="136"/>
        <v>126.91</v>
      </c>
      <c r="AI186" s="22">
        <f t="shared" si="137"/>
        <v>264.26</v>
      </c>
      <c r="AJ186" s="22">
        <f t="shared" ref="AJ186:AJ193" si="200">AI186+AH186</f>
        <v>391.16999999999996</v>
      </c>
      <c r="AK186" s="22">
        <f t="shared" si="138"/>
        <v>1628.7</v>
      </c>
      <c r="AL186" s="22">
        <f>Dane_kredytowe!F$8-SUM(AN$5:AN185)+SUM(R$42:R185)-SUM(S$42:S186)</f>
        <v>212500.34999999986</v>
      </c>
      <c r="AM186" s="22">
        <f t="shared" si="139"/>
        <v>400.21</v>
      </c>
      <c r="AN186" s="22">
        <f t="shared" si="140"/>
        <v>833.33</v>
      </c>
      <c r="AO186" s="22">
        <f t="shared" ref="AO186:AO193" si="201">AN186+AM186</f>
        <v>1233.54</v>
      </c>
      <c r="AP186" s="22">
        <f t="shared" ref="AP186:AP193" si="202">AK186-AO186</f>
        <v>395.16000000000008</v>
      </c>
      <c r="AR186" s="87">
        <f t="shared" si="141"/>
        <v>42767</v>
      </c>
      <c r="AS186" s="23">
        <f>AS$5+SUM(AV$5:AV185)-SUM(X$5:X186)+SUM(W$5:W186)</f>
        <v>110642.92136780624</v>
      </c>
      <c r="AT186" s="22">
        <f t="shared" si="142"/>
        <v>-208.37750190936842</v>
      </c>
      <c r="AU186" s="22">
        <f>IF(AB186=1,IF(Q186="tak",AT186,PMT(M186/12,P186+1-SUM(AB$5:AB186),AS186)),0)</f>
        <v>-546.79082134452506</v>
      </c>
      <c r="AV186" s="22">
        <f t="shared" si="177"/>
        <v>-338.41331943515661</v>
      </c>
      <c r="AW186" s="22">
        <f t="shared" si="143"/>
        <v>-2210.347216203108</v>
      </c>
      <c r="AY186" s="23">
        <f>AY$5+SUM(BA$5:BA185)+SUM(W$5:W185)-SUM(X$5:X185)</f>
        <v>98497.921437841884</v>
      </c>
      <c r="AZ186" s="23">
        <f t="shared" si="144"/>
        <v>-208.37750190936842</v>
      </c>
      <c r="BA186" s="23">
        <f t="shared" si="145"/>
        <v>-386.27</v>
      </c>
      <c r="BB186" s="23">
        <f t="shared" si="193"/>
        <v>-594.64750190936843</v>
      </c>
      <c r="BC186" s="23">
        <f t="shared" si="146"/>
        <v>-2403.8030617184309</v>
      </c>
      <c r="BE186" s="88">
        <f t="shared" si="147"/>
        <v>1.7299999999999999E-2</v>
      </c>
      <c r="BF186" s="89">
        <f>BE186+Dane_kredytowe!F$12</f>
        <v>4.7299999999999995E-2</v>
      </c>
      <c r="BG186" s="23">
        <f>BG$5+SUM(BH$5:BH185)+SUM(R$5:R185)-SUM(S$5:S185)</f>
        <v>260846.9157064929</v>
      </c>
      <c r="BH186" s="22">
        <f t="shared" ref="BH186:BH193" si="203">IF(BJ186&lt;0,BJ186-BI186,0)</f>
        <v>-595.40092468307557</v>
      </c>
      <c r="BI186" s="22">
        <f t="shared" ref="BI186:BI193" si="204">IF(BJ186&lt;0,-BG186*BF186/12,0)</f>
        <v>-1028.1715927430928</v>
      </c>
      <c r="BJ186" s="22">
        <f>IF(U186&lt;0,PMT(BF186/12,Dane_kredytowe!F$13-SUM(AB$5:AB186)+1,BG186),0)</f>
        <v>-1623.5725174261684</v>
      </c>
      <c r="BL186" s="23">
        <f>BL$5+SUM(BN$5:BN185)+SUM(R$5:R185)-SUM(S$5:S185)</f>
        <v>212500.00000000006</v>
      </c>
      <c r="BM186" s="23">
        <f t="shared" si="194"/>
        <v>-837.60416666666686</v>
      </c>
      <c r="BN186" s="23">
        <f t="shared" si="148"/>
        <v>-833.3333333333336</v>
      </c>
      <c r="BO186" s="23">
        <f t="shared" si="179"/>
        <v>-1670.9375000000005</v>
      </c>
      <c r="BQ186" s="89">
        <f t="shared" si="149"/>
        <v>3.4000000000000002E-2</v>
      </c>
      <c r="BR186" s="23">
        <f>BR$5+SUM(BS$5:BS185)+SUM(R$5:R185)-SUM(S$5:S185)+SUM(BV$5:BV185)</f>
        <v>296342.31608746009</v>
      </c>
      <c r="BS186" s="22">
        <f t="shared" si="163"/>
        <v>-794.00305836351447</v>
      </c>
      <c r="BT186" s="22">
        <f t="shared" si="164"/>
        <v>-839.63656224780368</v>
      </c>
      <c r="BU186" s="22">
        <f>IF(U186&lt;0,PMT(BQ186/12,Dane_kredytowe!F$13-SUM(AB$5:AB186)+1,BR186),0)</f>
        <v>-1633.6396206113182</v>
      </c>
      <c r="BV186" s="22">
        <f t="shared" si="157"/>
        <v>76.078841430059811</v>
      </c>
      <c r="BX186" s="23">
        <f>BX$5+SUM(BZ$5:BZ185)+SUM(R$5:R185)-SUM(S$5:S185)+SUM(CB$5,CB185)</f>
        <v>212218.78519126581</v>
      </c>
      <c r="BY186" s="22">
        <f t="shared" si="150"/>
        <v>-601.28655804191987</v>
      </c>
      <c r="BZ186" s="22">
        <f t="shared" si="151"/>
        <v>-832.23053016182666</v>
      </c>
      <c r="CA186" s="22">
        <f t="shared" si="165"/>
        <v>-1433.5170882037464</v>
      </c>
      <c r="CB186" s="22">
        <f t="shared" si="166"/>
        <v>-124.04369097751191</v>
      </c>
      <c r="CD186" s="22">
        <f>CD$5+SUM(CE$5:CE185)+SUM(R$5:R185)-SUM(S$5:S185)-SUM(CF$5:CF185)</f>
        <v>274305.83964766643</v>
      </c>
      <c r="CE186" s="22">
        <f t="shared" si="158"/>
        <v>601.28655804191987</v>
      </c>
      <c r="CF186" s="22">
        <f t="shared" si="152"/>
        <v>1557.5607791812583</v>
      </c>
      <c r="CG186" s="22">
        <f t="shared" si="159"/>
        <v>956.27422113933847</v>
      </c>
      <c r="CI186" s="89">
        <f t="shared" si="153"/>
        <v>0.45689999999999997</v>
      </c>
      <c r="CJ186" s="22">
        <f t="shared" si="154"/>
        <v>-711.65</v>
      </c>
      <c r="CK186" s="15">
        <f t="shared" si="160"/>
        <v>0</v>
      </c>
      <c r="CM186" s="22">
        <f t="shared" si="161"/>
        <v>-148275.07593905524</v>
      </c>
      <c r="CN186" s="15">
        <f t="shared" si="167"/>
        <v>-213.76323447880463</v>
      </c>
    </row>
    <row r="187" spans="1:92">
      <c r="A187" s="25"/>
      <c r="B187" s="80">
        <v>42795</v>
      </c>
      <c r="C187" s="81">
        <f t="shared" si="131"/>
        <v>4.0087999999999999</v>
      </c>
      <c r="D187" s="82">
        <f t="shared" si="162"/>
        <v>4.1290639999999996</v>
      </c>
      <c r="E187" s="73">
        <f t="shared" si="195"/>
        <v>-374.08344825943499</v>
      </c>
      <c r="F187" s="19">
        <f t="shared" si="196"/>
        <v>-1544.6144992038955</v>
      </c>
      <c r="G187" s="19">
        <f t="shared" si="197"/>
        <v>-1179.6465179686779</v>
      </c>
      <c r="H187" s="19">
        <f t="shared" si="198"/>
        <v>364.96798123521762</v>
      </c>
      <c r="I187" s="62"/>
      <c r="K187" s="15">
        <f>IF(B187&lt;=Dane_kredytowe!F$9,0,K186+1)</f>
        <v>107</v>
      </c>
      <c r="L187" s="83">
        <f t="shared" si="132"/>
        <v>-7.4000000000000003E-3</v>
      </c>
      <c r="M187" s="84">
        <f>L187+Dane_kredytowe!F$12</f>
        <v>2.2599999999999999E-2</v>
      </c>
      <c r="N187" s="79">
        <f>MAX(Dane_kredytowe!F$17+SUM(AA$5:AA186)-SUM(X$5:X187)+SUM(W$5:W187),0)</f>
        <v>75464.124704639078</v>
      </c>
      <c r="O187" s="85">
        <f>MAX(Dane_kredytowe!F$8+SUM(V$5:V186)-SUM(S$5:S187)+SUM(R$5:R186),0)</f>
        <v>237970.94566355576</v>
      </c>
      <c r="P187" s="67">
        <f t="shared" si="180"/>
        <v>360</v>
      </c>
      <c r="Q187" s="127" t="str">
        <f>IF(AND(K187&gt;0,K187&lt;=Dane_kredytowe!F$16),"tak","nie")</f>
        <v>nie</v>
      </c>
      <c r="R187" s="69"/>
      <c r="S187" s="86">
        <f>IF(Dane_kredytowe!F$19=B187,O186+V186,_xlfn.XLOOKUP(B187,Dane_kredytowe!M$9:M$18,Dane_kredytowe!N$9:N$18,0))</f>
        <v>0</v>
      </c>
      <c r="T187" s="71">
        <f t="shared" si="133"/>
        <v>-448.17861433303</v>
      </c>
      <c r="U187" s="72">
        <f>IF(Q187="tak",T187,IF(P187-SUM(AB$5:AB187)+1&gt;0,IF(Dane_kredytowe!F$9&lt;B187,IF(SUM(AB$5:AB187)-Dane_kredytowe!F$16+1&gt;0,PMT(M187/12,P187+1-SUM(AB$5:AB187),O187),T187),0),0))</f>
        <v>-1179.6465179686779</v>
      </c>
      <c r="V187" s="72">
        <f t="shared" si="155"/>
        <v>-731.46790363564787</v>
      </c>
      <c r="W187" s="19" t="str">
        <f t="shared" si="156"/>
        <v xml:space="preserve"> </v>
      </c>
      <c r="X187" s="19">
        <f t="shared" si="169"/>
        <v>0</v>
      </c>
      <c r="Y187" s="73">
        <f t="shared" si="134"/>
        <v>-142.12410152707025</v>
      </c>
      <c r="Z187" s="19">
        <f>IF(P187-SUM(AB$5:AB187)+1&gt;0,IF(Dane_kredytowe!F$9&lt;B187,IF(SUM(AB$5:AB187)-Dane_kredytowe!F$16+1&gt;0,PMT(M187/12,P187+1-SUM(AB$5:AB187),N187),Y187),0),0)</f>
        <v>-374.08344825943499</v>
      </c>
      <c r="AA187" s="19">
        <f t="shared" si="199"/>
        <v>-231.95934673236474</v>
      </c>
      <c r="AB187" s="20">
        <f>IF(AND(Dane_kredytowe!F$9&lt;B187,SUM(AB$5:AB186)&lt;P186),1," ")</f>
        <v>1</v>
      </c>
      <c r="AD187" s="75">
        <f>IF(OR(B187&lt;Dane_kredytowe!F$15,Dane_kredytowe!F$15=""),-F187+S187,0)</f>
        <v>0</v>
      </c>
      <c r="AE187" s="75">
        <f t="shared" si="135"/>
        <v>374.08344825943499</v>
      </c>
      <c r="AG187" s="22">
        <f>Dane_kredytowe!F$17-SUM(AI$5:AI186)+SUM(W$42:W187)-SUM(X$42:X187)</f>
        <v>67122.900000000067</v>
      </c>
      <c r="AH187" s="22">
        <f t="shared" si="136"/>
        <v>126.41</v>
      </c>
      <c r="AI187" s="22">
        <f t="shared" si="137"/>
        <v>264.26</v>
      </c>
      <c r="AJ187" s="22">
        <f t="shared" si="200"/>
        <v>390.66999999999996</v>
      </c>
      <c r="AK187" s="22">
        <f t="shared" si="138"/>
        <v>1613.1</v>
      </c>
      <c r="AL187" s="22">
        <f>Dane_kredytowe!F$8-SUM(AN$5:AN186)+SUM(R$42:R186)-SUM(S$42:S187)</f>
        <v>211667.01999999984</v>
      </c>
      <c r="AM187" s="22">
        <f t="shared" si="139"/>
        <v>398.64</v>
      </c>
      <c r="AN187" s="22">
        <f t="shared" si="140"/>
        <v>833.33</v>
      </c>
      <c r="AO187" s="22">
        <f t="shared" si="201"/>
        <v>1231.97</v>
      </c>
      <c r="AP187" s="22">
        <f t="shared" si="202"/>
        <v>381.12999999999988</v>
      </c>
      <c r="AR187" s="87">
        <f t="shared" si="141"/>
        <v>42795</v>
      </c>
      <c r="AS187" s="23">
        <f>AS$5+SUM(AV$5:AV186)-SUM(X$5:X187)+SUM(W$5:W187)</f>
        <v>110304.50804837109</v>
      </c>
      <c r="AT187" s="22">
        <f t="shared" si="142"/>
        <v>-207.7401568244322</v>
      </c>
      <c r="AU187" s="22">
        <f>IF(AB187=1,IF(Q187="tak",AT187,PMT(M187/12,P187+1-SUM(AB$5:AB187),AS187)),0)</f>
        <v>-546.79082134452506</v>
      </c>
      <c r="AV187" s="22">
        <f t="shared" si="177"/>
        <v>-339.05066452009282</v>
      </c>
      <c r="AW187" s="22">
        <f t="shared" si="143"/>
        <v>-2191.975044605932</v>
      </c>
      <c r="AY187" s="23">
        <f>AY$5+SUM(BA$5:BA186)+SUM(W$5:W186)-SUM(X$5:X186)</f>
        <v>98111.65143784188</v>
      </c>
      <c r="AZ187" s="23">
        <f t="shared" si="144"/>
        <v>-207.7401568244322</v>
      </c>
      <c r="BA187" s="23">
        <f t="shared" si="145"/>
        <v>-386.27</v>
      </c>
      <c r="BB187" s="23">
        <f t="shared" si="193"/>
        <v>-594.01015682443222</v>
      </c>
      <c r="BC187" s="23">
        <f t="shared" si="146"/>
        <v>-2381.2679166777839</v>
      </c>
      <c r="BE187" s="88">
        <f t="shared" si="147"/>
        <v>1.7299999999999999E-2</v>
      </c>
      <c r="BF187" s="89">
        <f>BE187+Dane_kredytowe!F$12</f>
        <v>4.7299999999999995E-2</v>
      </c>
      <c r="BG187" s="23">
        <f>BG$5+SUM(BH$5:BH186)+SUM(R$5:R186)-SUM(S$5:S186)</f>
        <v>260251.51478180982</v>
      </c>
      <c r="BH187" s="22">
        <f t="shared" si="203"/>
        <v>-597.74779666120162</v>
      </c>
      <c r="BI187" s="22">
        <f t="shared" si="204"/>
        <v>-1025.824720764967</v>
      </c>
      <c r="BJ187" s="22">
        <f>IF(U187&lt;0,PMT(BF187/12,Dane_kredytowe!F$13-SUM(AB$5:AB187)+1,BG187),0)</f>
        <v>-1623.5725174261686</v>
      </c>
      <c r="BL187" s="23">
        <f>BL$5+SUM(BN$5:BN186)+SUM(R$5:R186)-SUM(S$5:S186)</f>
        <v>211666.66666666674</v>
      </c>
      <c r="BM187" s="23">
        <f t="shared" si="194"/>
        <v>-834.31944444444468</v>
      </c>
      <c r="BN187" s="23">
        <f t="shared" si="148"/>
        <v>-833.3333333333336</v>
      </c>
      <c r="BO187" s="23">
        <f t="shared" si="179"/>
        <v>-1667.6527777777783</v>
      </c>
      <c r="BQ187" s="89">
        <f t="shared" si="149"/>
        <v>3.4000000000000002E-2</v>
      </c>
      <c r="BR187" s="23">
        <f>BR$5+SUM(BS$5:BS186)+SUM(R$5:R186)-SUM(S$5:S186)+SUM(BV$5:BV186)</f>
        <v>295624.3918705266</v>
      </c>
      <c r="BS187" s="22">
        <f t="shared" si="163"/>
        <v>-796.4577018269614</v>
      </c>
      <c r="BT187" s="22">
        <f t="shared" si="164"/>
        <v>-837.60244363315871</v>
      </c>
      <c r="BU187" s="22">
        <f>IF(U187&lt;0,PMT(BQ187/12,Dane_kredytowe!F$13-SUM(AB$5:AB187)+1,BR187),0)</f>
        <v>-1634.0601454601201</v>
      </c>
      <c r="BV187" s="22">
        <f t="shared" si="157"/>
        <v>89.445646256224563</v>
      </c>
      <c r="BX187" s="23">
        <f>BX$5+SUM(BZ$5:BZ186)+SUM(R$5:R186)-SUM(S$5:S186)+SUM(CB$5,CB186)</f>
        <v>211398.47993113738</v>
      </c>
      <c r="BY187" s="22">
        <f t="shared" si="150"/>
        <v>-598.96235980488927</v>
      </c>
      <c r="BZ187" s="22">
        <f t="shared" si="151"/>
        <v>-832.27748004384796</v>
      </c>
      <c r="CA187" s="22">
        <f t="shared" si="165"/>
        <v>-1431.2398398487371</v>
      </c>
      <c r="CB187" s="22">
        <f t="shared" si="166"/>
        <v>-113.37465935515843</v>
      </c>
      <c r="CD187" s="22">
        <f>CD$5+SUM(CE$5:CE186)+SUM(R$5:R186)-SUM(S$5:S186)-SUM(CF$5:CF186)</f>
        <v>273349.56542652706</v>
      </c>
      <c r="CE187" s="22">
        <f t="shared" si="158"/>
        <v>598.96235980488927</v>
      </c>
      <c r="CF187" s="22">
        <f t="shared" si="152"/>
        <v>1544.6144992038955</v>
      </c>
      <c r="CG187" s="22">
        <f t="shared" si="159"/>
        <v>945.65213939900627</v>
      </c>
      <c r="CI187" s="89">
        <f t="shared" si="153"/>
        <v>0.45839999999999997</v>
      </c>
      <c r="CJ187" s="22">
        <f t="shared" si="154"/>
        <v>-708.05</v>
      </c>
      <c r="CK187" s="15">
        <f t="shared" si="160"/>
        <v>0</v>
      </c>
      <c r="CM187" s="22">
        <f t="shared" si="161"/>
        <v>-149819.69043825913</v>
      </c>
      <c r="CN187" s="15">
        <f t="shared" si="167"/>
        <v>-215.9900537151569</v>
      </c>
    </row>
    <row r="188" spans="1:92">
      <c r="A188" s="25"/>
      <c r="B188" s="80">
        <v>42826</v>
      </c>
      <c r="C188" s="81">
        <f t="shared" si="131"/>
        <v>3.9533999999999998</v>
      </c>
      <c r="D188" s="82">
        <f t="shared" si="162"/>
        <v>4.0720020000000003</v>
      </c>
      <c r="E188" s="73">
        <f t="shared" si="195"/>
        <v>-374.08344825943499</v>
      </c>
      <c r="F188" s="19">
        <f t="shared" si="196"/>
        <v>-1523.2685494793159</v>
      </c>
      <c r="G188" s="19">
        <f t="shared" si="197"/>
        <v>-1179.6465179686782</v>
      </c>
      <c r="H188" s="19">
        <f t="shared" si="198"/>
        <v>343.62203151063773</v>
      </c>
      <c r="I188" s="62"/>
      <c r="K188" s="15">
        <f>IF(B188&lt;=Dane_kredytowe!F$9,0,K187+1)</f>
        <v>108</v>
      </c>
      <c r="L188" s="83">
        <f t="shared" si="132"/>
        <v>-7.4000000000000003E-3</v>
      </c>
      <c r="M188" s="84">
        <f>L188+Dane_kredytowe!F$12</f>
        <v>2.2599999999999999E-2</v>
      </c>
      <c r="N188" s="79">
        <f>MAX(Dane_kredytowe!F$17+SUM(AA$5:AA187)-SUM(X$5:X188)+SUM(W$5:W188),0)</f>
        <v>75232.165357906706</v>
      </c>
      <c r="O188" s="85">
        <f>MAX(Dane_kredytowe!F$8+SUM(V$5:V187)-SUM(S$5:S188)+SUM(R$5:R187),0)</f>
        <v>237239.47775992012</v>
      </c>
      <c r="P188" s="67">
        <f t="shared" si="180"/>
        <v>360</v>
      </c>
      <c r="Q188" s="127" t="str">
        <f>IF(AND(K188&gt;0,K188&lt;=Dane_kredytowe!F$16),"tak","nie")</f>
        <v>nie</v>
      </c>
      <c r="R188" s="69"/>
      <c r="S188" s="86">
        <f>IF(Dane_kredytowe!F$19=B188,O187+V187,_xlfn.XLOOKUP(B188,Dane_kredytowe!M$9:M$18,Dane_kredytowe!N$9:N$18,0))</f>
        <v>0</v>
      </c>
      <c r="T188" s="71">
        <f t="shared" si="133"/>
        <v>-446.80101644784958</v>
      </c>
      <c r="U188" s="72">
        <f>IF(Q188="tak",T188,IF(P188-SUM(AB$5:AB188)+1&gt;0,IF(Dane_kredytowe!F$9&lt;B188,IF(SUM(AB$5:AB188)-Dane_kredytowe!F$16+1&gt;0,PMT(M188/12,P188+1-SUM(AB$5:AB188),O188),T188),0),0))</f>
        <v>-1179.6465179686782</v>
      </c>
      <c r="V188" s="72">
        <f t="shared" si="155"/>
        <v>-732.84550152082852</v>
      </c>
      <c r="W188" s="19" t="str">
        <f t="shared" si="156"/>
        <v xml:space="preserve"> </v>
      </c>
      <c r="X188" s="19">
        <f t="shared" si="169"/>
        <v>0</v>
      </c>
      <c r="Y188" s="73">
        <f t="shared" si="134"/>
        <v>-141.68724475739097</v>
      </c>
      <c r="Z188" s="19">
        <f>IF(P188-SUM(AB$5:AB188)+1&gt;0,IF(Dane_kredytowe!F$9&lt;B188,IF(SUM(AB$5:AB188)-Dane_kredytowe!F$16+1&gt;0,PMT(M188/12,P188+1-SUM(AB$5:AB188),N188),Y188),0),0)</f>
        <v>-374.08344825943499</v>
      </c>
      <c r="AA188" s="19">
        <f t="shared" si="199"/>
        <v>-232.39620350204402</v>
      </c>
      <c r="AB188" s="20">
        <f>IF(AND(Dane_kredytowe!F$9&lt;B188,SUM(AB$5:AB187)&lt;P187),1," ")</f>
        <v>1</v>
      </c>
      <c r="AD188" s="75">
        <f>IF(OR(B188&lt;Dane_kredytowe!F$15,Dane_kredytowe!F$15=""),-F188+S188,0)</f>
        <v>0</v>
      </c>
      <c r="AE188" s="75">
        <f t="shared" si="135"/>
        <v>374.08344825943499</v>
      </c>
      <c r="AG188" s="22">
        <f>Dane_kredytowe!F$17-SUM(AI$5:AI187)+SUM(W$42:W188)-SUM(X$42:X188)</f>
        <v>66858.640000000072</v>
      </c>
      <c r="AH188" s="22">
        <f t="shared" si="136"/>
        <v>125.92</v>
      </c>
      <c r="AI188" s="22">
        <f t="shared" si="137"/>
        <v>264.26</v>
      </c>
      <c r="AJ188" s="22">
        <f t="shared" si="200"/>
        <v>390.18</v>
      </c>
      <c r="AK188" s="22">
        <f t="shared" si="138"/>
        <v>1588.81</v>
      </c>
      <c r="AL188" s="22">
        <f>Dane_kredytowe!F$8-SUM(AN$5:AN187)+SUM(R$42:R187)-SUM(S$42:S188)</f>
        <v>210833.68999999986</v>
      </c>
      <c r="AM188" s="22">
        <f t="shared" si="139"/>
        <v>397.07</v>
      </c>
      <c r="AN188" s="22">
        <f t="shared" si="140"/>
        <v>833.33</v>
      </c>
      <c r="AO188" s="22">
        <f t="shared" si="201"/>
        <v>1230.4000000000001</v>
      </c>
      <c r="AP188" s="22">
        <f t="shared" si="202"/>
        <v>358.40999999999985</v>
      </c>
      <c r="AR188" s="87">
        <f t="shared" si="141"/>
        <v>42826</v>
      </c>
      <c r="AS188" s="23">
        <f>AS$5+SUM(AV$5:AV187)-SUM(X$5:X188)+SUM(W$5:W188)</f>
        <v>109965.457383851</v>
      </c>
      <c r="AT188" s="22">
        <f t="shared" si="142"/>
        <v>-207.10161140625269</v>
      </c>
      <c r="AU188" s="22">
        <f>IF(AB188=1,IF(Q188="tak",AT188,PMT(M188/12,P188+1-SUM(AB$5:AB188),AS188)),0)</f>
        <v>-546.79082134452506</v>
      </c>
      <c r="AV188" s="22">
        <f t="shared" si="177"/>
        <v>-339.68920993827237</v>
      </c>
      <c r="AW188" s="22">
        <f t="shared" si="143"/>
        <v>-2161.6828331034453</v>
      </c>
      <c r="AY188" s="23">
        <f>AY$5+SUM(BA$5:BA187)+SUM(W$5:W187)-SUM(X$5:X187)</f>
        <v>97725.38143784189</v>
      </c>
      <c r="AZ188" s="23">
        <f t="shared" si="144"/>
        <v>-207.10161140625269</v>
      </c>
      <c r="BA188" s="23">
        <f t="shared" si="145"/>
        <v>-386.27</v>
      </c>
      <c r="BB188" s="23">
        <f t="shared" ref="BB188:BB193" si="205">BA188+AZ188</f>
        <v>-593.37161140625267</v>
      </c>
      <c r="BC188" s="23">
        <f t="shared" si="146"/>
        <v>-2345.8353285334792</v>
      </c>
      <c r="BE188" s="88">
        <f t="shared" si="147"/>
        <v>1.7299999999999999E-2</v>
      </c>
      <c r="BF188" s="89">
        <f>BE188+Dane_kredytowe!F$12</f>
        <v>4.7299999999999995E-2</v>
      </c>
      <c r="BG188" s="23">
        <f>BG$5+SUM(BH$5:BH187)+SUM(R$5:R187)-SUM(S$5:S187)</f>
        <v>259653.76698514863</v>
      </c>
      <c r="BH188" s="22">
        <f t="shared" si="203"/>
        <v>-600.1039192263745</v>
      </c>
      <c r="BI188" s="22">
        <f t="shared" si="204"/>
        <v>-1023.4685981997941</v>
      </c>
      <c r="BJ188" s="22">
        <f>IF(U188&lt;0,PMT(BF188/12,Dane_kredytowe!F$13-SUM(AB$5:AB188)+1,BG188),0)</f>
        <v>-1623.5725174261686</v>
      </c>
      <c r="BL188" s="23">
        <f>BL$5+SUM(BN$5:BN187)+SUM(R$5:R187)-SUM(S$5:S187)</f>
        <v>210833.3333333334</v>
      </c>
      <c r="BM188" s="23">
        <f t="shared" si="194"/>
        <v>-831.03472222222229</v>
      </c>
      <c r="BN188" s="23">
        <f t="shared" si="148"/>
        <v>-833.3333333333336</v>
      </c>
      <c r="BO188" s="23">
        <f t="shared" si="179"/>
        <v>-1664.3680555555559</v>
      </c>
      <c r="BQ188" s="89">
        <f t="shared" si="149"/>
        <v>3.4000000000000002E-2</v>
      </c>
      <c r="BR188" s="23">
        <f>BR$5+SUM(BS$5:BS187)+SUM(R$5:R187)-SUM(S$5:S187)+SUM(BV$5:BV187)</f>
        <v>294917.37981495593</v>
      </c>
      <c r="BS188" s="22">
        <f t="shared" si="163"/>
        <v>-798.95664796145581</v>
      </c>
      <c r="BT188" s="22">
        <f t="shared" si="164"/>
        <v>-835.59924280904181</v>
      </c>
      <c r="BU188" s="22">
        <f>IF(U188&lt;0,PMT(BQ188/12,Dane_kredytowe!F$13-SUM(AB$5:AB188)+1,BR188),0)</f>
        <v>-1634.5558907704976</v>
      </c>
      <c r="BV188" s="22">
        <f t="shared" si="157"/>
        <v>111.28734129118175</v>
      </c>
      <c r="BX188" s="23">
        <f>BX$5+SUM(BZ$5:BZ187)+SUM(R$5:R187)-SUM(S$5:S187)+SUM(CB$5,CB187)</f>
        <v>210576.87148271588</v>
      </c>
      <c r="BY188" s="22">
        <f t="shared" si="150"/>
        <v>-596.63446920102831</v>
      </c>
      <c r="BZ188" s="22">
        <f t="shared" si="151"/>
        <v>-832.31965012931175</v>
      </c>
      <c r="CA188" s="22">
        <f t="shared" si="165"/>
        <v>-1428.9541193303401</v>
      </c>
      <c r="CB188" s="22">
        <f t="shared" si="166"/>
        <v>-94.314430148975816</v>
      </c>
      <c r="CD188" s="22">
        <f>CD$5+SUM(CE$5:CE187)+SUM(R$5:R187)-SUM(S$5:S187)-SUM(CF$5:CF187)</f>
        <v>272403.91328712809</v>
      </c>
      <c r="CE188" s="22">
        <f t="shared" si="158"/>
        <v>596.63446920102831</v>
      </c>
      <c r="CF188" s="22">
        <f t="shared" si="152"/>
        <v>1523.2685494793159</v>
      </c>
      <c r="CG188" s="22">
        <f t="shared" si="159"/>
        <v>926.63408027828757</v>
      </c>
      <c r="CI188" s="89">
        <f t="shared" si="153"/>
        <v>0.45400000000000001</v>
      </c>
      <c r="CJ188" s="22">
        <f t="shared" si="154"/>
        <v>-691.56</v>
      </c>
      <c r="CK188" s="15">
        <f t="shared" si="160"/>
        <v>0</v>
      </c>
      <c r="CM188" s="22">
        <f t="shared" si="161"/>
        <v>-151342.95898773844</v>
      </c>
      <c r="CN188" s="15">
        <f t="shared" si="167"/>
        <v>-218.18609920732294</v>
      </c>
    </row>
    <row r="189" spans="1:92">
      <c r="A189" s="25"/>
      <c r="B189" s="80">
        <v>42856</v>
      </c>
      <c r="C189" s="81">
        <f t="shared" si="131"/>
        <v>3.8580000000000001</v>
      </c>
      <c r="D189" s="82">
        <f t="shared" si="162"/>
        <v>3.9737400000000003</v>
      </c>
      <c r="E189" s="73">
        <f t="shared" si="195"/>
        <v>-374.0834482594351</v>
      </c>
      <c r="F189" s="19">
        <f t="shared" si="196"/>
        <v>-1486.5103616864478</v>
      </c>
      <c r="G189" s="19">
        <f t="shared" si="197"/>
        <v>-1179.6465179686782</v>
      </c>
      <c r="H189" s="19">
        <f t="shared" si="198"/>
        <v>306.86384371776967</v>
      </c>
      <c r="I189" s="62"/>
      <c r="K189" s="15">
        <f>IF(B189&lt;=Dane_kredytowe!F$9,0,K188+1)</f>
        <v>109</v>
      </c>
      <c r="L189" s="83">
        <f t="shared" si="132"/>
        <v>-7.4000000000000003E-3</v>
      </c>
      <c r="M189" s="84">
        <f>L189+Dane_kredytowe!F$12</f>
        <v>2.2599999999999999E-2</v>
      </c>
      <c r="N189" s="79">
        <f>MAX(Dane_kredytowe!F$17+SUM(AA$5:AA188)-SUM(X$5:X189)+SUM(W$5:W189),0)</f>
        <v>74999.769154404668</v>
      </c>
      <c r="O189" s="85">
        <f>MAX(Dane_kredytowe!F$8+SUM(V$5:V188)-SUM(S$5:S189)+SUM(R$5:R188),0)</f>
        <v>236506.63225839927</v>
      </c>
      <c r="P189" s="67">
        <f t="shared" si="180"/>
        <v>360</v>
      </c>
      <c r="Q189" s="127" t="str">
        <f>IF(AND(K189&gt;0,K189&lt;=Dane_kredytowe!F$16),"tak","nie")</f>
        <v>nie</v>
      </c>
      <c r="R189" s="69"/>
      <c r="S189" s="86">
        <f>IF(Dane_kredytowe!F$19=B189,O188+V188,_xlfn.XLOOKUP(B189,Dane_kredytowe!M$9:M$18,Dane_kredytowe!N$9:N$18,0))</f>
        <v>0</v>
      </c>
      <c r="T189" s="71">
        <f t="shared" si="133"/>
        <v>-445.42082408665192</v>
      </c>
      <c r="U189" s="72">
        <f>IF(Q189="tak",T189,IF(P189-SUM(AB$5:AB189)+1&gt;0,IF(Dane_kredytowe!F$9&lt;B189,IF(SUM(AB$5:AB189)-Dane_kredytowe!F$16+1&gt;0,PMT(M189/12,P189+1-SUM(AB$5:AB189),O189),T189),0),0))</f>
        <v>-1179.6465179686782</v>
      </c>
      <c r="V189" s="72">
        <f t="shared" si="155"/>
        <v>-734.22569388202623</v>
      </c>
      <c r="W189" s="19" t="str">
        <f t="shared" si="156"/>
        <v xml:space="preserve"> </v>
      </c>
      <c r="X189" s="19">
        <f t="shared" si="169"/>
        <v>0</v>
      </c>
      <c r="Y189" s="73">
        <f t="shared" si="134"/>
        <v>-141.24956524079545</v>
      </c>
      <c r="Z189" s="19">
        <f>IF(P189-SUM(AB$5:AB189)+1&gt;0,IF(Dane_kredytowe!F$9&lt;B189,IF(SUM(AB$5:AB189)-Dane_kredytowe!F$16+1&gt;0,PMT(M189/12,P189+1-SUM(AB$5:AB189),N189),Y189),0),0)</f>
        <v>-374.0834482594351</v>
      </c>
      <c r="AA189" s="19">
        <f t="shared" si="199"/>
        <v>-232.83388301863965</v>
      </c>
      <c r="AB189" s="20">
        <f>IF(AND(Dane_kredytowe!F$9&lt;B189,SUM(AB$5:AB188)&lt;P188),1," ")</f>
        <v>1</v>
      </c>
      <c r="AD189" s="75">
        <f>IF(OR(B189&lt;Dane_kredytowe!F$15,Dane_kredytowe!F$15=""),-F189+S189,0)</f>
        <v>0</v>
      </c>
      <c r="AE189" s="75">
        <f t="shared" si="135"/>
        <v>374.0834482594351</v>
      </c>
      <c r="AG189" s="22">
        <f>Dane_kredytowe!F$17-SUM(AI$5:AI188)+SUM(W$42:W189)-SUM(X$42:X189)</f>
        <v>66594.380000000063</v>
      </c>
      <c r="AH189" s="22">
        <f t="shared" si="136"/>
        <v>125.42</v>
      </c>
      <c r="AI189" s="22">
        <f t="shared" si="137"/>
        <v>264.26</v>
      </c>
      <c r="AJ189" s="22">
        <f t="shared" si="200"/>
        <v>389.68</v>
      </c>
      <c r="AK189" s="22">
        <f t="shared" si="138"/>
        <v>1548.49</v>
      </c>
      <c r="AL189" s="22">
        <f>Dane_kredytowe!F$8-SUM(AN$5:AN188)+SUM(R$42:R188)-SUM(S$42:S189)</f>
        <v>210000.35999999987</v>
      </c>
      <c r="AM189" s="22">
        <f t="shared" si="139"/>
        <v>395.5</v>
      </c>
      <c r="AN189" s="22">
        <f t="shared" si="140"/>
        <v>833.33</v>
      </c>
      <c r="AO189" s="22">
        <f t="shared" si="201"/>
        <v>1228.83</v>
      </c>
      <c r="AP189" s="22">
        <f t="shared" si="202"/>
        <v>319.66000000000008</v>
      </c>
      <c r="AR189" s="87">
        <f t="shared" si="141"/>
        <v>42856</v>
      </c>
      <c r="AS189" s="23">
        <f>AS$5+SUM(AV$5:AV188)-SUM(X$5:X189)+SUM(W$5:W189)</f>
        <v>109625.76817391271</v>
      </c>
      <c r="AT189" s="22">
        <f t="shared" si="142"/>
        <v>-206.46186339420228</v>
      </c>
      <c r="AU189" s="22">
        <f>IF(AB189=1,IF(Q189="tak",AT189,PMT(M189/12,P189+1-SUM(AB$5:AB189),AS189)),0)</f>
        <v>-546.79082134452506</v>
      </c>
      <c r="AV189" s="22">
        <f t="shared" si="177"/>
        <v>-340.32895795032277</v>
      </c>
      <c r="AW189" s="22">
        <f t="shared" si="143"/>
        <v>-2109.5189887471779</v>
      </c>
      <c r="AY189" s="23">
        <f>AY$5+SUM(BA$5:BA188)+SUM(W$5:W188)-SUM(X$5:X188)</f>
        <v>97339.111437841901</v>
      </c>
      <c r="AZ189" s="23">
        <f t="shared" si="144"/>
        <v>-206.46186339420228</v>
      </c>
      <c r="BA189" s="23">
        <f t="shared" si="145"/>
        <v>-386.27</v>
      </c>
      <c r="BB189" s="23">
        <f t="shared" si="205"/>
        <v>-592.73186339420226</v>
      </c>
      <c r="BC189" s="23">
        <f t="shared" si="146"/>
        <v>-2286.7595289748324</v>
      </c>
      <c r="BE189" s="88">
        <f t="shared" si="147"/>
        <v>1.7299999999999999E-2</v>
      </c>
      <c r="BF189" s="89">
        <f>BE189+Dane_kredytowe!F$12</f>
        <v>4.7299999999999995E-2</v>
      </c>
      <c r="BG189" s="23">
        <f>BG$5+SUM(BH$5:BH188)+SUM(R$5:R188)-SUM(S$5:S188)</f>
        <v>259053.66306592224</v>
      </c>
      <c r="BH189" s="22">
        <f t="shared" si="203"/>
        <v>-602.46932884132502</v>
      </c>
      <c r="BI189" s="22">
        <f t="shared" si="204"/>
        <v>-1021.1031885848433</v>
      </c>
      <c r="BJ189" s="22">
        <f>IF(U189&lt;0,PMT(BF189/12,Dane_kredytowe!F$13-SUM(AB$5:AB189)+1,BG189),0)</f>
        <v>-1623.5725174261684</v>
      </c>
      <c r="BL189" s="23">
        <f>BL$5+SUM(BN$5:BN188)+SUM(R$5:R188)-SUM(S$5:S188)</f>
        <v>210000.00000000006</v>
      </c>
      <c r="BM189" s="23">
        <f t="shared" si="194"/>
        <v>-827.75000000000011</v>
      </c>
      <c r="BN189" s="23">
        <f t="shared" si="148"/>
        <v>-833.3333333333336</v>
      </c>
      <c r="BO189" s="23">
        <f t="shared" si="179"/>
        <v>-1661.0833333333337</v>
      </c>
      <c r="BQ189" s="89">
        <f t="shared" si="149"/>
        <v>3.4000000000000002E-2</v>
      </c>
      <c r="BR189" s="23">
        <f>BR$5+SUM(BS$5:BS188)+SUM(R$5:R188)-SUM(S$5:S188)+SUM(BV$5:BV188)</f>
        <v>294229.71050828561</v>
      </c>
      <c r="BS189" s="22">
        <f t="shared" si="163"/>
        <v>-801.52352098787605</v>
      </c>
      <c r="BT189" s="22">
        <f t="shared" si="164"/>
        <v>-833.65084644014269</v>
      </c>
      <c r="BU189" s="22">
        <f>IF(U189&lt;0,PMT(BQ189/12,Dane_kredytowe!F$13-SUM(AB$5:AB189)+1,BR189),0)</f>
        <v>-1635.1743674280187</v>
      </c>
      <c r="BV189" s="22">
        <f t="shared" si="157"/>
        <v>148.66400574157092</v>
      </c>
      <c r="BX189" s="23">
        <f>BX$5+SUM(BZ$5:BZ188)+SUM(R$5:R188)-SUM(S$5:S188)+SUM(CB$5,CB188)</f>
        <v>209763.61206179275</v>
      </c>
      <c r="BY189" s="22">
        <f t="shared" si="150"/>
        <v>-594.33023417507945</v>
      </c>
      <c r="BZ189" s="22">
        <f t="shared" si="151"/>
        <v>-832.39528595949503</v>
      </c>
      <c r="CA189" s="22">
        <f t="shared" si="165"/>
        <v>-1426.7255201345745</v>
      </c>
      <c r="CB189" s="22">
        <f t="shared" si="166"/>
        <v>-59.784841551873342</v>
      </c>
      <c r="CD189" s="22">
        <f>CD$5+SUM(CE$5:CE188)+SUM(R$5:R188)-SUM(S$5:S188)-SUM(CF$5:CF188)</f>
        <v>271477.27920684975</v>
      </c>
      <c r="CE189" s="22">
        <f t="shared" si="158"/>
        <v>594.33023417507945</v>
      </c>
      <c r="CF189" s="22">
        <f t="shared" si="152"/>
        <v>1486.5103616864478</v>
      </c>
      <c r="CG189" s="22">
        <f t="shared" si="159"/>
        <v>892.18012751136837</v>
      </c>
      <c r="CI189" s="89">
        <f t="shared" si="153"/>
        <v>0.45400000000000001</v>
      </c>
      <c r="CJ189" s="22">
        <f t="shared" si="154"/>
        <v>-674.88</v>
      </c>
      <c r="CK189" s="15">
        <f t="shared" si="160"/>
        <v>0</v>
      </c>
      <c r="CM189" s="22">
        <f t="shared" si="161"/>
        <v>-152829.46934942488</v>
      </c>
      <c r="CN189" s="15">
        <f t="shared" si="167"/>
        <v>-220.32915164542086</v>
      </c>
    </row>
    <row r="190" spans="1:92">
      <c r="A190" s="25"/>
      <c r="B190" s="80">
        <v>42887</v>
      </c>
      <c r="C190" s="81">
        <f t="shared" si="131"/>
        <v>3.8708</v>
      </c>
      <c r="D190" s="82">
        <f t="shared" si="162"/>
        <v>3.9869240000000001</v>
      </c>
      <c r="E190" s="73">
        <f t="shared" si="195"/>
        <v>-374.08344825943499</v>
      </c>
      <c r="F190" s="19">
        <f t="shared" si="196"/>
        <v>-1491.4422778682997</v>
      </c>
      <c r="G190" s="19">
        <f t="shared" si="197"/>
        <v>-1179.6465179686779</v>
      </c>
      <c r="H190" s="19">
        <f t="shared" si="198"/>
        <v>311.79575989962177</v>
      </c>
      <c r="I190" s="62"/>
      <c r="K190" s="15">
        <f>IF(B190&lt;=Dane_kredytowe!F$9,0,K189+1)</f>
        <v>110</v>
      </c>
      <c r="L190" s="83">
        <f t="shared" si="132"/>
        <v>-7.4000000000000003E-3</v>
      </c>
      <c r="M190" s="84">
        <f>L190+Dane_kredytowe!F$12</f>
        <v>2.2599999999999999E-2</v>
      </c>
      <c r="N190" s="79">
        <f>MAX(Dane_kredytowe!F$17+SUM(AA$5:AA189)-SUM(X$5:X190)+SUM(W$5:W190),0)</f>
        <v>74766.935271386028</v>
      </c>
      <c r="O190" s="85">
        <f>MAX(Dane_kredytowe!F$8+SUM(V$5:V189)-SUM(S$5:S190)+SUM(R$5:R189),0)</f>
        <v>235772.40656451724</v>
      </c>
      <c r="P190" s="67">
        <f t="shared" si="180"/>
        <v>360</v>
      </c>
      <c r="Q190" s="127" t="str">
        <f>IF(AND(K190&gt;0,K190&lt;=Dane_kredytowe!F$16),"tak","nie")</f>
        <v>nie</v>
      </c>
      <c r="R190" s="69"/>
      <c r="S190" s="86">
        <f>IF(Dane_kredytowe!F$19=B190,O189+V189,_xlfn.XLOOKUP(B190,Dane_kredytowe!M$9:M$18,Dane_kredytowe!N$9:N$18,0))</f>
        <v>0</v>
      </c>
      <c r="T190" s="71">
        <f t="shared" si="133"/>
        <v>-444.03803236317412</v>
      </c>
      <c r="U190" s="72">
        <f>IF(Q190="tak",T190,IF(P190-SUM(AB$5:AB190)+1&gt;0,IF(Dane_kredytowe!F$9&lt;B190,IF(SUM(AB$5:AB190)-Dane_kredytowe!F$16+1&gt;0,PMT(M190/12,P190+1-SUM(AB$5:AB190),O190),T190),0),0))</f>
        <v>-1179.6465179686779</v>
      </c>
      <c r="V190" s="72">
        <f t="shared" si="155"/>
        <v>-735.6084856055038</v>
      </c>
      <c r="W190" s="19" t="str">
        <f t="shared" si="156"/>
        <v xml:space="preserve"> </v>
      </c>
      <c r="X190" s="19">
        <f t="shared" si="169"/>
        <v>0</v>
      </c>
      <c r="Y190" s="73">
        <f t="shared" si="134"/>
        <v>-140.81106142777702</v>
      </c>
      <c r="Z190" s="19">
        <f>IF(P190-SUM(AB$5:AB190)+1&gt;0,IF(Dane_kredytowe!F$9&lt;B190,IF(SUM(AB$5:AB190)-Dane_kredytowe!F$16+1&gt;0,PMT(M190/12,P190+1-SUM(AB$5:AB190),N190),Y190),0),0)</f>
        <v>-374.08344825943499</v>
      </c>
      <c r="AA190" s="19">
        <f t="shared" si="199"/>
        <v>-233.27238683165797</v>
      </c>
      <c r="AB190" s="20">
        <f>IF(AND(Dane_kredytowe!F$9&lt;B190,SUM(AB$5:AB189)&lt;P189),1," ")</f>
        <v>1</v>
      </c>
      <c r="AD190" s="75">
        <f>IF(OR(B190&lt;Dane_kredytowe!F$15,Dane_kredytowe!F$15=""),-F190+S190,0)</f>
        <v>0</v>
      </c>
      <c r="AE190" s="75">
        <f t="shared" si="135"/>
        <v>374.08344825943499</v>
      </c>
      <c r="AG190" s="22">
        <f>Dane_kredytowe!F$17-SUM(AI$5:AI189)+SUM(W$42:W190)-SUM(X$42:X190)</f>
        <v>66330.120000000068</v>
      </c>
      <c r="AH190" s="22">
        <f t="shared" si="136"/>
        <v>124.92</v>
      </c>
      <c r="AI190" s="22">
        <f t="shared" si="137"/>
        <v>264.26</v>
      </c>
      <c r="AJ190" s="22">
        <f t="shared" si="200"/>
        <v>389.18</v>
      </c>
      <c r="AK190" s="22">
        <f t="shared" si="138"/>
        <v>1551.63</v>
      </c>
      <c r="AL190" s="22">
        <f>Dane_kredytowe!F$8-SUM(AN$5:AN189)+SUM(R$42:R189)-SUM(S$42:S190)</f>
        <v>209167.02999999985</v>
      </c>
      <c r="AM190" s="22">
        <f t="shared" si="139"/>
        <v>393.93</v>
      </c>
      <c r="AN190" s="22">
        <f t="shared" si="140"/>
        <v>833.33</v>
      </c>
      <c r="AO190" s="22">
        <f t="shared" si="201"/>
        <v>1227.26</v>
      </c>
      <c r="AP190" s="22">
        <f t="shared" si="202"/>
        <v>324.37000000000012</v>
      </c>
      <c r="AR190" s="87">
        <f t="shared" si="141"/>
        <v>42887</v>
      </c>
      <c r="AS190" s="23">
        <f>AS$5+SUM(AV$5:AV189)-SUM(X$5:X190)+SUM(W$5:W190)</f>
        <v>109285.4392159624</v>
      </c>
      <c r="AT190" s="22">
        <f t="shared" si="142"/>
        <v>-205.82091052339584</v>
      </c>
      <c r="AU190" s="22">
        <f>IF(AB190=1,IF(Q190="tak",AT190,PMT(M190/12,P190+1-SUM(AB$5:AB190),AS190)),0)</f>
        <v>-546.79082134452506</v>
      </c>
      <c r="AV190" s="22">
        <f t="shared" si="177"/>
        <v>-340.96991082112925</v>
      </c>
      <c r="AW190" s="22">
        <f t="shared" si="143"/>
        <v>-2116.5179112603878</v>
      </c>
      <c r="AY190" s="23">
        <f>AY$5+SUM(BA$5:BA189)+SUM(W$5:W189)-SUM(X$5:X189)</f>
        <v>96952.841437841897</v>
      </c>
      <c r="AZ190" s="23">
        <f t="shared" si="144"/>
        <v>-205.82091052339584</v>
      </c>
      <c r="BA190" s="23">
        <f t="shared" si="145"/>
        <v>-386.27</v>
      </c>
      <c r="BB190" s="23">
        <f t="shared" si="205"/>
        <v>-592.09091052339579</v>
      </c>
      <c r="BC190" s="23">
        <f t="shared" si="146"/>
        <v>-2291.8654964539605</v>
      </c>
      <c r="BE190" s="88">
        <f t="shared" si="147"/>
        <v>1.7299999999999999E-2</v>
      </c>
      <c r="BF190" s="89">
        <f>BE190+Dane_kredytowe!F$12</f>
        <v>4.7299999999999995E-2</v>
      </c>
      <c r="BG190" s="23">
        <f>BG$5+SUM(BH$5:BH189)+SUM(R$5:R189)-SUM(S$5:S189)</f>
        <v>258451.1937370809</v>
      </c>
      <c r="BH190" s="22">
        <f t="shared" si="203"/>
        <v>-604.84406211250837</v>
      </c>
      <c r="BI190" s="22">
        <f t="shared" si="204"/>
        <v>-1018.7284553136604</v>
      </c>
      <c r="BJ190" s="22">
        <f>IF(U190&lt;0,PMT(BF190/12,Dane_kredytowe!F$13-SUM(AB$5:AB190)+1,BG190),0)</f>
        <v>-1623.5725174261688</v>
      </c>
      <c r="BL190" s="23">
        <f>BL$5+SUM(BN$5:BN189)+SUM(R$5:R189)-SUM(S$5:S189)</f>
        <v>209166.66666666674</v>
      </c>
      <c r="BM190" s="23">
        <f t="shared" si="194"/>
        <v>-824.46527777777794</v>
      </c>
      <c r="BN190" s="23">
        <f t="shared" si="148"/>
        <v>-833.3333333333336</v>
      </c>
      <c r="BO190" s="23">
        <f t="shared" si="179"/>
        <v>-1657.7986111111115</v>
      </c>
      <c r="BQ190" s="89">
        <f t="shared" si="149"/>
        <v>3.4000000000000002E-2</v>
      </c>
      <c r="BR190" s="23">
        <f>BR$5+SUM(BS$5:BS189)+SUM(R$5:R189)-SUM(S$5:S189)+SUM(BV$5:BV189)</f>
        <v>293576.85099303932</v>
      </c>
      <c r="BS190" s="22">
        <f t="shared" si="163"/>
        <v>-804.20174298844597</v>
      </c>
      <c r="BT190" s="22">
        <f t="shared" si="164"/>
        <v>-831.80107781361141</v>
      </c>
      <c r="BU190" s="22">
        <f>IF(U190&lt;0,PMT(BQ190/12,Dane_kredytowe!F$13-SUM(AB$5:AB190)+1,BR190),0)</f>
        <v>-1636.0028208020574</v>
      </c>
      <c r="BV190" s="22">
        <f t="shared" si="157"/>
        <v>144.56054293375769</v>
      </c>
      <c r="BX190" s="23">
        <f>BX$5+SUM(BZ$5:BZ189)+SUM(R$5:R189)-SUM(S$5:S189)+SUM(CB$5,CB189)</f>
        <v>208965.74636443032</v>
      </c>
      <c r="BY190" s="22">
        <f t="shared" si="150"/>
        <v>-592.0696146992193</v>
      </c>
      <c r="BZ190" s="22">
        <f t="shared" si="151"/>
        <v>-832.53285404155508</v>
      </c>
      <c r="CA190" s="22">
        <f t="shared" si="165"/>
        <v>-1424.6024687407744</v>
      </c>
      <c r="CB190" s="22">
        <f t="shared" si="166"/>
        <v>-66.839809127525314</v>
      </c>
      <c r="CD190" s="22">
        <f>CD$5+SUM(CE$5:CE189)+SUM(R$5:R189)-SUM(S$5:S189)-SUM(CF$5:CF189)</f>
        <v>270585.09907933843</v>
      </c>
      <c r="CE190" s="22">
        <f t="shared" si="158"/>
        <v>592.0696146992193</v>
      </c>
      <c r="CF190" s="22">
        <f t="shared" si="152"/>
        <v>1491.4422778682997</v>
      </c>
      <c r="CG190" s="22">
        <f t="shared" si="159"/>
        <v>899.3726631690804</v>
      </c>
      <c r="CI190" s="89">
        <f t="shared" si="153"/>
        <v>0.45689999999999997</v>
      </c>
      <c r="CJ190" s="22">
        <f t="shared" si="154"/>
        <v>-681.44</v>
      </c>
      <c r="CK190" s="15">
        <f t="shared" si="160"/>
        <v>0</v>
      </c>
      <c r="CM190" s="22">
        <f t="shared" si="161"/>
        <v>-154320.91162729319</v>
      </c>
      <c r="CN190" s="15">
        <f t="shared" si="167"/>
        <v>-222.47931426268099</v>
      </c>
    </row>
    <row r="191" spans="1:92">
      <c r="A191" s="25"/>
      <c r="B191" s="80">
        <v>42917</v>
      </c>
      <c r="C191" s="81">
        <f t="shared" si="131"/>
        <v>3.8290999999999999</v>
      </c>
      <c r="D191" s="82">
        <f t="shared" si="162"/>
        <v>3.9439730000000002</v>
      </c>
      <c r="E191" s="73">
        <f t="shared" si="195"/>
        <v>-374.08344825943499</v>
      </c>
      <c r="F191" s="19">
        <f t="shared" si="196"/>
        <v>-1475.3750196821086</v>
      </c>
      <c r="G191" s="19">
        <f t="shared" si="197"/>
        <v>-1179.6465179686782</v>
      </c>
      <c r="H191" s="19">
        <f t="shared" si="198"/>
        <v>295.72850171343043</v>
      </c>
      <c r="I191" s="62"/>
      <c r="K191" s="15">
        <f>IF(B191&lt;=Dane_kredytowe!F$9,0,K190+1)</f>
        <v>111</v>
      </c>
      <c r="L191" s="83">
        <f t="shared" si="132"/>
        <v>-7.4000000000000003E-3</v>
      </c>
      <c r="M191" s="84">
        <f>L191+Dane_kredytowe!F$12</f>
        <v>2.2599999999999999E-2</v>
      </c>
      <c r="N191" s="79">
        <f>MAX(Dane_kredytowe!F$17+SUM(AA$5:AA190)-SUM(X$5:X191)+SUM(W$5:W191),0)</f>
        <v>74533.66288455436</v>
      </c>
      <c r="O191" s="85">
        <f>MAX(Dane_kredytowe!F$8+SUM(V$5:V190)-SUM(S$5:S191)+SUM(R$5:R190),0)</f>
        <v>235036.79807891176</v>
      </c>
      <c r="P191" s="67">
        <f t="shared" si="180"/>
        <v>360</v>
      </c>
      <c r="Q191" s="127" t="str">
        <f>IF(AND(K191&gt;0,K191&lt;=Dane_kredytowe!F$16),"tak","nie")</f>
        <v>nie</v>
      </c>
      <c r="R191" s="69"/>
      <c r="S191" s="86">
        <f>IF(Dane_kredytowe!F$19=B191,O190+V190,_xlfn.XLOOKUP(B191,Dane_kredytowe!M$9:M$18,Dane_kredytowe!N$9:N$18,0))</f>
        <v>0</v>
      </c>
      <c r="T191" s="71">
        <f t="shared" si="133"/>
        <v>-442.65263638195046</v>
      </c>
      <c r="U191" s="72">
        <f>IF(Q191="tak",T191,IF(P191-SUM(AB$5:AB191)+1&gt;0,IF(Dane_kredytowe!F$9&lt;B191,IF(SUM(AB$5:AB191)-Dane_kredytowe!F$16+1&gt;0,PMT(M191/12,P191+1-SUM(AB$5:AB191),O191),T191),0),0))</f>
        <v>-1179.6465179686782</v>
      </c>
      <c r="V191" s="72">
        <f t="shared" si="155"/>
        <v>-736.99388158672764</v>
      </c>
      <c r="W191" s="19" t="str">
        <f t="shared" si="156"/>
        <v xml:space="preserve"> </v>
      </c>
      <c r="X191" s="19">
        <f t="shared" si="169"/>
        <v>0</v>
      </c>
      <c r="Y191" s="73">
        <f t="shared" si="134"/>
        <v>-140.37173176591071</v>
      </c>
      <c r="Z191" s="19">
        <f>IF(P191-SUM(AB$5:AB191)+1&gt;0,IF(Dane_kredytowe!F$9&lt;B191,IF(SUM(AB$5:AB191)-Dane_kredytowe!F$16+1&gt;0,PMT(M191/12,P191+1-SUM(AB$5:AB191),N191),Y191),0),0)</f>
        <v>-374.08344825943499</v>
      </c>
      <c r="AA191" s="19">
        <f t="shared" si="199"/>
        <v>-233.71171649352428</v>
      </c>
      <c r="AB191" s="20">
        <f>IF(AND(Dane_kredytowe!F$9&lt;B191,SUM(AB$5:AB190)&lt;P190),1," ")</f>
        <v>1</v>
      </c>
      <c r="AD191" s="75">
        <f>IF(OR(B191&lt;Dane_kredytowe!F$15,Dane_kredytowe!F$15=""),-F191+S191,0)</f>
        <v>0</v>
      </c>
      <c r="AE191" s="75">
        <f t="shared" si="135"/>
        <v>374.08344825943499</v>
      </c>
      <c r="AG191" s="22">
        <f>Dane_kredytowe!F$17-SUM(AI$5:AI190)+SUM(W$42:W191)-SUM(X$42:X191)</f>
        <v>66065.860000000073</v>
      </c>
      <c r="AH191" s="22">
        <f t="shared" si="136"/>
        <v>124.42</v>
      </c>
      <c r="AI191" s="22">
        <f t="shared" si="137"/>
        <v>264.26</v>
      </c>
      <c r="AJ191" s="22">
        <f t="shared" si="200"/>
        <v>388.68</v>
      </c>
      <c r="AK191" s="22">
        <f t="shared" si="138"/>
        <v>1532.94</v>
      </c>
      <c r="AL191" s="22">
        <f>Dane_kredytowe!F$8-SUM(AN$5:AN190)+SUM(R$42:R190)-SUM(S$42:S191)</f>
        <v>208333.69999999984</v>
      </c>
      <c r="AM191" s="22">
        <f t="shared" si="139"/>
        <v>392.36</v>
      </c>
      <c r="AN191" s="22">
        <f t="shared" si="140"/>
        <v>833.33</v>
      </c>
      <c r="AO191" s="22">
        <f t="shared" si="201"/>
        <v>1225.69</v>
      </c>
      <c r="AP191" s="22">
        <f t="shared" si="202"/>
        <v>307.25</v>
      </c>
      <c r="AR191" s="87">
        <f t="shared" si="141"/>
        <v>42917</v>
      </c>
      <c r="AS191" s="23">
        <f>AS$5+SUM(AV$5:AV190)-SUM(X$5:X191)+SUM(W$5:W191)</f>
        <v>108944.46930514128</v>
      </c>
      <c r="AT191" s="22">
        <f t="shared" si="142"/>
        <v>-205.17875052468273</v>
      </c>
      <c r="AU191" s="22">
        <f>IF(AB191=1,IF(Q191="tak",AT191,PMT(M191/12,P191+1-SUM(AB$5:AB191),AS191)),0)</f>
        <v>-546.79082134452517</v>
      </c>
      <c r="AV191" s="22">
        <f t="shared" si="177"/>
        <v>-341.61207081984242</v>
      </c>
      <c r="AW191" s="22">
        <f t="shared" si="143"/>
        <v>-2093.7167340103215</v>
      </c>
      <c r="AY191" s="23">
        <f>AY$5+SUM(BA$5:BA190)+SUM(W$5:W190)-SUM(X$5:X190)</f>
        <v>96566.571437841892</v>
      </c>
      <c r="AZ191" s="23">
        <f t="shared" si="144"/>
        <v>-205.17875052468273</v>
      </c>
      <c r="BA191" s="23">
        <f t="shared" si="145"/>
        <v>-386.27</v>
      </c>
      <c r="BB191" s="23">
        <f t="shared" si="205"/>
        <v>-591.44875052468274</v>
      </c>
      <c r="BC191" s="23">
        <f t="shared" si="146"/>
        <v>-2264.7164106340624</v>
      </c>
      <c r="BE191" s="88">
        <f t="shared" si="147"/>
        <v>1.7299999999999999E-2</v>
      </c>
      <c r="BF191" s="89">
        <f>BE191+Dane_kredytowe!F$12</f>
        <v>4.7299999999999995E-2</v>
      </c>
      <c r="BG191" s="23">
        <f>BG$5+SUM(BH$5:BH190)+SUM(R$5:R190)-SUM(S$5:S190)</f>
        <v>257846.3496749684</v>
      </c>
      <c r="BH191" s="22">
        <f t="shared" si="203"/>
        <v>-607.22815579066787</v>
      </c>
      <c r="BI191" s="22">
        <f t="shared" si="204"/>
        <v>-1016.3443616355003</v>
      </c>
      <c r="BJ191" s="22">
        <f>IF(U191&lt;0,PMT(BF191/12,Dane_kredytowe!F$13-SUM(AB$5:AB191)+1,BG191),0)</f>
        <v>-1623.5725174261681</v>
      </c>
      <c r="BL191" s="23">
        <f>BL$5+SUM(BN$5:BN190)+SUM(R$5:R190)-SUM(S$5:S190)</f>
        <v>208333.33333333343</v>
      </c>
      <c r="BM191" s="23">
        <f t="shared" si="194"/>
        <v>-821.18055555555577</v>
      </c>
      <c r="BN191" s="23">
        <f t="shared" si="148"/>
        <v>-833.33333333333371</v>
      </c>
      <c r="BO191" s="23">
        <f t="shared" si="179"/>
        <v>-1654.5138888888896</v>
      </c>
      <c r="BQ191" s="89">
        <f t="shared" si="149"/>
        <v>3.4000000000000002E-2</v>
      </c>
      <c r="BR191" s="23">
        <f>BR$5+SUM(BS$5:BS190)+SUM(R$5:R190)-SUM(S$5:S190)+SUM(BV$5:BV190)</f>
        <v>292917.20979298465</v>
      </c>
      <c r="BS191" s="22">
        <f t="shared" si="163"/>
        <v>-806.87852539790811</v>
      </c>
      <c r="BT191" s="22">
        <f t="shared" si="164"/>
        <v>-829.93209441345653</v>
      </c>
      <c r="BU191" s="22">
        <f>IF(U191&lt;0,PMT(BQ191/12,Dane_kredytowe!F$13-SUM(AB$5:AB191)+1,BR191),0)</f>
        <v>-1636.8106198113646</v>
      </c>
      <c r="BV191" s="22">
        <f t="shared" si="157"/>
        <v>161.43560012925604</v>
      </c>
      <c r="BX191" s="23">
        <f>BX$5+SUM(BZ$5:BZ190)+SUM(R$5:R190)-SUM(S$5:S190)+SUM(CB$5,CB190)</f>
        <v>208126.15854281312</v>
      </c>
      <c r="BY191" s="22">
        <f t="shared" si="150"/>
        <v>-589.69078253797056</v>
      </c>
      <c r="BZ191" s="22">
        <f t="shared" si="151"/>
        <v>-832.50463417125252</v>
      </c>
      <c r="CA191" s="22">
        <f t="shared" si="165"/>
        <v>-1422.1954167092231</v>
      </c>
      <c r="CB191" s="22">
        <f t="shared" si="166"/>
        <v>-53.179602972885505</v>
      </c>
      <c r="CD191" s="22">
        <f>CD$5+SUM(CE$5:CE190)+SUM(R$5:R190)-SUM(S$5:S190)-SUM(CF$5:CF190)</f>
        <v>269685.72641616932</v>
      </c>
      <c r="CE191" s="22">
        <f t="shared" si="158"/>
        <v>589.69078253797056</v>
      </c>
      <c r="CF191" s="22">
        <f t="shared" si="152"/>
        <v>1475.3750196821086</v>
      </c>
      <c r="CG191" s="22">
        <f t="shared" si="159"/>
        <v>885.68423714413802</v>
      </c>
      <c r="CI191" s="89">
        <f t="shared" si="153"/>
        <v>0.45979999999999999</v>
      </c>
      <c r="CJ191" s="22">
        <f t="shared" si="154"/>
        <v>-678.38</v>
      </c>
      <c r="CK191" s="15">
        <f t="shared" si="160"/>
        <v>0</v>
      </c>
      <c r="CM191" s="22">
        <f t="shared" si="161"/>
        <v>-155796.28664697529</v>
      </c>
      <c r="CN191" s="15">
        <f t="shared" si="167"/>
        <v>-224.60631324938936</v>
      </c>
    </row>
    <row r="192" spans="1:92">
      <c r="A192" s="25"/>
      <c r="B192" s="80">
        <v>42948</v>
      </c>
      <c r="C192" s="81">
        <f t="shared" si="131"/>
        <v>3.7471000000000001</v>
      </c>
      <c r="D192" s="82">
        <f t="shared" si="162"/>
        <v>3.8595130000000002</v>
      </c>
      <c r="E192" s="73">
        <f t="shared" si="195"/>
        <v>-374.08344825943499</v>
      </c>
      <c r="F192" s="19">
        <f t="shared" si="196"/>
        <v>-1443.7799316421167</v>
      </c>
      <c r="G192" s="19">
        <f t="shared" si="197"/>
        <v>-1179.6465179686782</v>
      </c>
      <c r="H192" s="19">
        <f t="shared" si="198"/>
        <v>264.13341367343855</v>
      </c>
      <c r="I192" s="62"/>
      <c r="K192" s="15">
        <f>IF(B192&lt;=Dane_kredytowe!F$9,0,K191+1)</f>
        <v>112</v>
      </c>
      <c r="L192" s="83">
        <f t="shared" si="132"/>
        <v>-7.4000000000000003E-3</v>
      </c>
      <c r="M192" s="84">
        <f>L192+Dane_kredytowe!F$12</f>
        <v>2.2599999999999999E-2</v>
      </c>
      <c r="N192" s="79">
        <f>MAX(Dane_kredytowe!F$17+SUM(AA$5:AA191)-SUM(X$5:X192)+SUM(W$5:W192),0)</f>
        <v>74299.951168060841</v>
      </c>
      <c r="O192" s="85">
        <f>MAX(Dane_kredytowe!F$8+SUM(V$5:V191)-SUM(S$5:S192)+SUM(R$5:R191),0)</f>
        <v>234299.80419732502</v>
      </c>
      <c r="P192" s="67">
        <f t="shared" si="180"/>
        <v>360</v>
      </c>
      <c r="Q192" s="127" t="str">
        <f>IF(AND(K192&gt;0,K192&lt;=Dane_kredytowe!F$16),"tak","nie")</f>
        <v>nie</v>
      </c>
      <c r="R192" s="69"/>
      <c r="S192" s="86">
        <f>IF(Dane_kredytowe!F$19=B192,O191+V191,_xlfn.XLOOKUP(B192,Dane_kredytowe!M$9:M$18,Dane_kredytowe!N$9:N$18,0))</f>
        <v>0</v>
      </c>
      <c r="T192" s="71">
        <f t="shared" si="133"/>
        <v>-441.26463123829541</v>
      </c>
      <c r="U192" s="72">
        <f>IF(Q192="tak",T192,IF(P192-SUM(AB$5:AB192)+1&gt;0,IF(Dane_kredytowe!F$9&lt;B192,IF(SUM(AB$5:AB192)-Dane_kredytowe!F$16+1&gt;0,PMT(M192/12,P192+1-SUM(AB$5:AB192),O192),T192),0),0))</f>
        <v>-1179.6465179686782</v>
      </c>
      <c r="V192" s="72">
        <f t="shared" si="155"/>
        <v>-738.3818867303828</v>
      </c>
      <c r="W192" s="19" t="str">
        <f t="shared" si="156"/>
        <v xml:space="preserve"> </v>
      </c>
      <c r="X192" s="19">
        <f t="shared" si="169"/>
        <v>0</v>
      </c>
      <c r="Y192" s="73">
        <f t="shared" si="134"/>
        <v>-139.93157469984791</v>
      </c>
      <c r="Z192" s="19">
        <f>IF(P192-SUM(AB$5:AB192)+1&gt;0,IF(Dane_kredytowe!F$9&lt;B192,IF(SUM(AB$5:AB192)-Dane_kredytowe!F$16+1&gt;0,PMT(M192/12,P192+1-SUM(AB$5:AB192),N192),Y192),0),0)</f>
        <v>-374.08344825943499</v>
      </c>
      <c r="AA192" s="19">
        <f t="shared" si="199"/>
        <v>-234.15187355958707</v>
      </c>
      <c r="AB192" s="20">
        <f>IF(AND(Dane_kredytowe!F$9&lt;B192,SUM(AB$5:AB191)&lt;P191),1," ")</f>
        <v>1</v>
      </c>
      <c r="AD192" s="75">
        <f>IF(OR(B192&lt;Dane_kredytowe!F$15,Dane_kredytowe!F$15=""),-F192+S192,0)</f>
        <v>0</v>
      </c>
      <c r="AE192" s="75">
        <f t="shared" si="135"/>
        <v>374.08344825943499</v>
      </c>
      <c r="AG192" s="22">
        <f>Dane_kredytowe!F$17-SUM(AI$5:AI191)+SUM(W$42:W192)-SUM(X$42:X192)</f>
        <v>65801.600000000079</v>
      </c>
      <c r="AH192" s="22">
        <f t="shared" si="136"/>
        <v>123.93</v>
      </c>
      <c r="AI192" s="22">
        <f t="shared" si="137"/>
        <v>264.26</v>
      </c>
      <c r="AJ192" s="22">
        <f t="shared" si="200"/>
        <v>388.19</v>
      </c>
      <c r="AK192" s="22">
        <f t="shared" si="138"/>
        <v>1498.22</v>
      </c>
      <c r="AL192" s="22">
        <f>Dane_kredytowe!F$8-SUM(AN$5:AN191)+SUM(R$42:R191)-SUM(S$42:S192)</f>
        <v>207500.36999999985</v>
      </c>
      <c r="AM192" s="22">
        <f t="shared" si="139"/>
        <v>390.79</v>
      </c>
      <c r="AN192" s="22">
        <f t="shared" si="140"/>
        <v>833.33</v>
      </c>
      <c r="AO192" s="22">
        <f t="shared" si="201"/>
        <v>1224.1200000000001</v>
      </c>
      <c r="AP192" s="22">
        <f t="shared" si="202"/>
        <v>274.09999999999991</v>
      </c>
      <c r="AR192" s="87">
        <f t="shared" si="141"/>
        <v>42948</v>
      </c>
      <c r="AS192" s="23">
        <f>AS$5+SUM(AV$5:AV191)-SUM(X$5:X192)+SUM(W$5:W192)</f>
        <v>108602.85723432143</v>
      </c>
      <c r="AT192" s="22">
        <f t="shared" si="142"/>
        <v>-204.53538112463869</v>
      </c>
      <c r="AU192" s="22">
        <f>IF(AB192=1,IF(Q192="tak",AT192,PMT(M192/12,P192+1-SUM(AB$5:AB192),AS192)),0)</f>
        <v>-546.79082134452506</v>
      </c>
      <c r="AV192" s="22">
        <f t="shared" si="177"/>
        <v>-342.2554402198864</v>
      </c>
      <c r="AW192" s="22">
        <f t="shared" si="143"/>
        <v>-2048.87988666007</v>
      </c>
      <c r="AY192" s="23">
        <f>AY$5+SUM(BA$5:BA191)+SUM(W$5:W191)-SUM(X$5:X191)</f>
        <v>96180.301437841903</v>
      </c>
      <c r="AZ192" s="23">
        <f t="shared" si="144"/>
        <v>-204.53538112463869</v>
      </c>
      <c r="BA192" s="23">
        <f t="shared" si="145"/>
        <v>-386.27</v>
      </c>
      <c r="BB192" s="23">
        <f t="shared" si="205"/>
        <v>-590.80538112463864</v>
      </c>
      <c r="BC192" s="23">
        <f t="shared" si="146"/>
        <v>-2213.8068436121334</v>
      </c>
      <c r="BE192" s="88">
        <f t="shared" si="147"/>
        <v>1.7299999999999999E-2</v>
      </c>
      <c r="BF192" s="89">
        <f>BE192+Dane_kredytowe!F$12</f>
        <v>4.7299999999999995E-2</v>
      </c>
      <c r="BG192" s="23">
        <f>BG$5+SUM(BH$5:BH191)+SUM(R$5:R191)-SUM(S$5:S191)</f>
        <v>257239.12151917774</v>
      </c>
      <c r="BH192" s="22">
        <f t="shared" si="203"/>
        <v>-609.6216467714097</v>
      </c>
      <c r="BI192" s="22">
        <f t="shared" si="204"/>
        <v>-1013.9508706547589</v>
      </c>
      <c r="BJ192" s="22">
        <f>IF(U192&lt;0,PMT(BF192/12,Dane_kredytowe!F$13-SUM(AB$5:AB192)+1,BG192),0)</f>
        <v>-1623.5725174261686</v>
      </c>
      <c r="BL192" s="23">
        <f>BL$5+SUM(BN$5:BN191)+SUM(R$5:R191)-SUM(S$5:S191)</f>
        <v>207500.00000000009</v>
      </c>
      <c r="BM192" s="23">
        <f t="shared" si="194"/>
        <v>-817.8958333333336</v>
      </c>
      <c r="BN192" s="23">
        <f t="shared" si="148"/>
        <v>-833.33333333333371</v>
      </c>
      <c r="BO192" s="23">
        <f t="shared" si="179"/>
        <v>-1651.2291666666674</v>
      </c>
      <c r="BQ192" s="89">
        <f t="shared" si="149"/>
        <v>3.4000000000000002E-2</v>
      </c>
      <c r="BR192" s="23">
        <f>BR$5+SUM(BS$5:BS191)+SUM(R$5:R191)-SUM(S$5:S191)+SUM(BV$5:BV191)</f>
        <v>292271.76686771598</v>
      </c>
      <c r="BS192" s="22">
        <f t="shared" si="163"/>
        <v>-809.61186836778381</v>
      </c>
      <c r="BT192" s="22">
        <f t="shared" si="164"/>
        <v>-828.10333945852869</v>
      </c>
      <c r="BU192" s="22">
        <f>IF(U192&lt;0,PMT(BQ192/12,Dane_kredytowe!F$13-SUM(AB$5:AB192)+1,BR192),0)</f>
        <v>-1637.7152078263125</v>
      </c>
      <c r="BV192" s="22">
        <f t="shared" si="157"/>
        <v>193.9352761841958</v>
      </c>
      <c r="BX192" s="23">
        <f>BX$5+SUM(BZ$5:BZ191)+SUM(R$5:R191)-SUM(S$5:S191)+SUM(CB$5,CB191)</f>
        <v>207307.31411479652</v>
      </c>
      <c r="BY192" s="22">
        <f t="shared" si="150"/>
        <v>-587.37072332525679</v>
      </c>
      <c r="BZ192" s="22">
        <f t="shared" si="151"/>
        <v>-832.55949443693385</v>
      </c>
      <c r="CA192" s="22">
        <f t="shared" si="165"/>
        <v>-1419.9302177621908</v>
      </c>
      <c r="CB192" s="22">
        <f t="shared" si="166"/>
        <v>-23.849713879925957</v>
      </c>
      <c r="CD192" s="22">
        <f>CD$5+SUM(CE$5:CE191)+SUM(R$5:R191)-SUM(S$5:S191)-SUM(CF$5:CF191)</f>
        <v>268800.04217902524</v>
      </c>
      <c r="CE192" s="22">
        <f t="shared" si="158"/>
        <v>587.37072332525679</v>
      </c>
      <c r="CF192" s="22">
        <f t="shared" si="152"/>
        <v>1443.7799316421167</v>
      </c>
      <c r="CG192" s="22">
        <f t="shared" si="159"/>
        <v>856.40920831685992</v>
      </c>
      <c r="CI192" s="89">
        <f t="shared" si="153"/>
        <v>0.46129999999999999</v>
      </c>
      <c r="CJ192" s="22">
        <f t="shared" si="154"/>
        <v>-666.02</v>
      </c>
      <c r="CK192" s="15">
        <f t="shared" si="160"/>
        <v>0</v>
      </c>
      <c r="CM192" s="22">
        <f t="shared" si="161"/>
        <v>-157240.06657861741</v>
      </c>
      <c r="CN192" s="15">
        <f t="shared" si="167"/>
        <v>-226.68776265084009</v>
      </c>
    </row>
    <row r="193" spans="1:92">
      <c r="A193" s="25"/>
      <c r="B193" s="80">
        <v>42979</v>
      </c>
      <c r="C193" s="81">
        <f t="shared" si="131"/>
        <v>3.722</v>
      </c>
      <c r="D193" s="82">
        <f t="shared" si="162"/>
        <v>3.8336600000000001</v>
      </c>
      <c r="E193" s="73">
        <f t="shared" si="195"/>
        <v>-374.08344825943504</v>
      </c>
      <c r="F193" s="19">
        <f t="shared" si="196"/>
        <v>-1434.1087522542657</v>
      </c>
      <c r="G193" s="19">
        <f t="shared" si="197"/>
        <v>-1179.6465179686782</v>
      </c>
      <c r="H193" s="19">
        <f t="shared" si="198"/>
        <v>254.46223428558756</v>
      </c>
      <c r="I193" s="62"/>
      <c r="K193" s="15">
        <f>IF(B193&lt;=Dane_kredytowe!F$9,0,K192+1)</f>
        <v>113</v>
      </c>
      <c r="L193" s="83">
        <f t="shared" si="132"/>
        <v>-7.4000000000000003E-3</v>
      </c>
      <c r="M193" s="84">
        <f>L193+Dane_kredytowe!F$12</f>
        <v>2.2599999999999999E-2</v>
      </c>
      <c r="N193" s="79">
        <f>MAX(Dane_kredytowe!F$17+SUM(AA$5:AA192)-SUM(X$5:X193)+SUM(W$5:W193),0)</f>
        <v>74065.799294501252</v>
      </c>
      <c r="O193" s="85">
        <f>MAX(Dane_kredytowe!F$8+SUM(V$5:V192)-SUM(S$5:S193)+SUM(R$5:R192),0)</f>
        <v>233561.42231059464</v>
      </c>
      <c r="P193" s="67">
        <f t="shared" si="180"/>
        <v>360</v>
      </c>
      <c r="Q193" s="127" t="str">
        <f>IF(AND(K193&gt;0,K193&lt;=Dane_kredytowe!F$16),"tak","nie")</f>
        <v>nie</v>
      </c>
      <c r="R193" s="69"/>
      <c r="S193" s="86">
        <f>IF(Dane_kredytowe!F$19=B193,O192+V192,_xlfn.XLOOKUP(B193,Dane_kredytowe!M$9:M$18,Dane_kredytowe!N$9:N$18,0))</f>
        <v>0</v>
      </c>
      <c r="T193" s="71">
        <f t="shared" si="133"/>
        <v>-439.87401201828652</v>
      </c>
      <c r="U193" s="72">
        <f>IF(Q193="tak",T193,IF(P193-SUM(AB$5:AB193)+1&gt;0,IF(Dane_kredytowe!F$9&lt;B193,IF(SUM(AB$5:AB193)-Dane_kredytowe!F$16+1&gt;0,PMT(M193/12,P193+1-SUM(AB$5:AB193),O193),T193),0),0))</f>
        <v>-1179.6465179686782</v>
      </c>
      <c r="V193" s="72">
        <f t="shared" si="155"/>
        <v>-739.77250595039163</v>
      </c>
      <c r="W193" s="19" t="str">
        <f t="shared" si="156"/>
        <v xml:space="preserve"> </v>
      </c>
      <c r="X193" s="19">
        <f t="shared" si="169"/>
        <v>0</v>
      </c>
      <c r="Y193" s="73">
        <f t="shared" si="134"/>
        <v>-139.49058867131069</v>
      </c>
      <c r="Z193" s="19">
        <f>IF(P193-SUM(AB$5:AB193)+1&gt;0,IF(Dane_kredytowe!F$9&lt;B193,IF(SUM(AB$5:AB193)-Dane_kredytowe!F$16+1&gt;0,PMT(M193/12,P193+1-SUM(AB$5:AB193),N193),Y193),0),0)</f>
        <v>-374.08344825943504</v>
      </c>
      <c r="AA193" s="19">
        <f t="shared" si="199"/>
        <v>-234.59285958812436</v>
      </c>
      <c r="AB193" s="20">
        <f>IF(AND(Dane_kredytowe!F$9&lt;B193,SUM(AB$5:AB192)&lt;P192),1," ")</f>
        <v>1</v>
      </c>
      <c r="AD193" s="75">
        <f>IF(OR(B193&lt;Dane_kredytowe!F$15,Dane_kredytowe!F$15=""),-F193+S193,0)</f>
        <v>0</v>
      </c>
      <c r="AE193" s="75">
        <f t="shared" si="135"/>
        <v>374.08344825943504</v>
      </c>
      <c r="AG193" s="22">
        <f>Dane_kredytowe!F$17-SUM(AI$5:AI192)+SUM(W$42:W193)-SUM(X$42:X193)</f>
        <v>65537.340000000084</v>
      </c>
      <c r="AH193" s="22">
        <f t="shared" si="136"/>
        <v>123.43</v>
      </c>
      <c r="AI193" s="22">
        <f t="shared" si="137"/>
        <v>264.26</v>
      </c>
      <c r="AJ193" s="22">
        <f t="shared" si="200"/>
        <v>387.69</v>
      </c>
      <c r="AK193" s="22">
        <f t="shared" si="138"/>
        <v>1486.27</v>
      </c>
      <c r="AL193" s="22">
        <f>Dane_kredytowe!F$8-SUM(AN$5:AN192)+SUM(R$42:R192)-SUM(S$42:S193)</f>
        <v>206667.03999999986</v>
      </c>
      <c r="AM193" s="22">
        <f t="shared" si="139"/>
        <v>389.22</v>
      </c>
      <c r="AN193" s="22">
        <f t="shared" si="140"/>
        <v>833.33</v>
      </c>
      <c r="AO193" s="22">
        <f t="shared" si="201"/>
        <v>1222.5500000000002</v>
      </c>
      <c r="AP193" s="22">
        <f t="shared" si="202"/>
        <v>263.7199999999998</v>
      </c>
      <c r="AR193" s="87">
        <f t="shared" si="141"/>
        <v>42979</v>
      </c>
      <c r="AS193" s="23">
        <f>AS$5+SUM(AV$5:AV192)-SUM(X$5:X193)+SUM(W$5:W193)</f>
        <v>108260.60179410155</v>
      </c>
      <c r="AT193" s="22">
        <f t="shared" si="142"/>
        <v>-203.89080004555788</v>
      </c>
      <c r="AU193" s="22">
        <f>IF(AB193=1,IF(Q193="tak",AT193,PMT(M193/12,P193+1-SUM(AB$5:AB193),AS193)),0)</f>
        <v>-546.79082134452517</v>
      </c>
      <c r="AV193" s="22">
        <f t="shared" si="177"/>
        <v>-342.90002129896732</v>
      </c>
      <c r="AW193" s="22">
        <f t="shared" si="143"/>
        <v>-2035.1554370443228</v>
      </c>
      <c r="AY193" s="23">
        <f>AY$5+SUM(BA$5:BA192)+SUM(W$5:W192)-SUM(X$5:X192)</f>
        <v>95794.031437841913</v>
      </c>
      <c r="AZ193" s="23">
        <f t="shared" si="144"/>
        <v>-203.89080004555788</v>
      </c>
      <c r="BA193" s="23">
        <f t="shared" si="145"/>
        <v>-386.27</v>
      </c>
      <c r="BB193" s="23">
        <f t="shared" si="205"/>
        <v>-590.16080004555783</v>
      </c>
      <c r="BC193" s="23">
        <f t="shared" si="146"/>
        <v>-2196.5784977695662</v>
      </c>
      <c r="BE193" s="88">
        <f t="shared" si="147"/>
        <v>1.7299999999999999E-2</v>
      </c>
      <c r="BF193" s="89">
        <f>BE193+Dane_kredytowe!F$12</f>
        <v>4.7299999999999995E-2</v>
      </c>
      <c r="BG193" s="23">
        <f>BG$5+SUM(BH$5:BH192)+SUM(R$5:R192)-SUM(S$5:S192)</f>
        <v>256629.49987240633</v>
      </c>
      <c r="BH193" s="22">
        <f t="shared" si="203"/>
        <v>-612.02457209576687</v>
      </c>
      <c r="BI193" s="22">
        <f t="shared" si="204"/>
        <v>-1011.5479453304015</v>
      </c>
      <c r="BJ193" s="22">
        <f>IF(U193&lt;0,PMT(BF193/12,Dane_kredytowe!F$13-SUM(AB$5:AB193)+1,BG193),0)</f>
        <v>-1623.5725174261684</v>
      </c>
      <c r="BL193" s="23">
        <f>BL$5+SUM(BN$5:BN192)+SUM(R$5:R192)-SUM(S$5:S192)</f>
        <v>206666.66666666674</v>
      </c>
      <c r="BM193" s="23">
        <f t="shared" si="194"/>
        <v>-814.61111111111131</v>
      </c>
      <c r="BN193" s="23">
        <f t="shared" si="148"/>
        <v>-833.3333333333336</v>
      </c>
      <c r="BO193" s="23">
        <f t="shared" si="179"/>
        <v>-1647.9444444444448</v>
      </c>
      <c r="BQ193" s="89">
        <f t="shared" si="149"/>
        <v>3.4000000000000002E-2</v>
      </c>
      <c r="BR193" s="23">
        <f>BR$5+SUM(BS$5:BS192)+SUM(R$5:R192)-SUM(S$5:S192)+SUM(BV$5:BV192)</f>
        <v>291656.09027553239</v>
      </c>
      <c r="BS193" s="22">
        <f t="shared" si="163"/>
        <v>-812.44600061538438</v>
      </c>
      <c r="BT193" s="22">
        <f t="shared" si="164"/>
        <v>-826.3589224473418</v>
      </c>
      <c r="BU193" s="22">
        <f>IF(U193&lt;0,PMT(BQ193/12,Dane_kredytowe!F$13-SUM(AB$5:AB193)+1,BR193),0)</f>
        <v>-1638.8049230627262</v>
      </c>
      <c r="BV193" s="22">
        <f t="shared" si="157"/>
        <v>204.69617080846047</v>
      </c>
      <c r="BX193" s="23">
        <f>BX$5+SUM(BZ$5:BZ192)+SUM(R$5:R192)-SUM(S$5:S192)+SUM(CB$5,CB192)</f>
        <v>206504.08450945254</v>
      </c>
      <c r="BY193" s="22">
        <f t="shared" si="150"/>
        <v>-585.09490611011563</v>
      </c>
      <c r="BZ193" s="22">
        <f t="shared" si="151"/>
        <v>-832.67776011876026</v>
      </c>
      <c r="CA193" s="22">
        <f t="shared" si="165"/>
        <v>-1417.772666228876</v>
      </c>
      <c r="CB193" s="22">
        <f t="shared" si="166"/>
        <v>-16.336086025389704</v>
      </c>
      <c r="CD193" s="22">
        <f>CD$5+SUM(CE$5:CE192)+SUM(R$5:R192)-SUM(S$5:S192)-SUM(CF$5:CF192)</f>
        <v>267943.63297070831</v>
      </c>
      <c r="CE193" s="22">
        <f t="shared" si="158"/>
        <v>585.09490611011563</v>
      </c>
      <c r="CF193" s="22">
        <f t="shared" si="152"/>
        <v>1434.1087522542657</v>
      </c>
      <c r="CG193" s="22">
        <f t="shared" si="159"/>
        <v>849.01384614415008</v>
      </c>
      <c r="CI193" s="89">
        <f t="shared" si="153"/>
        <v>0.45550000000000002</v>
      </c>
      <c r="CJ193" s="22">
        <f t="shared" si="154"/>
        <v>-653.24</v>
      </c>
      <c r="CK193" s="15">
        <f t="shared" si="160"/>
        <v>0</v>
      </c>
      <c r="CM193" s="22">
        <f t="shared" si="161"/>
        <v>-158674.17533087166</v>
      </c>
      <c r="CN193" s="15">
        <f t="shared" si="167"/>
        <v>-228.75526943533998</v>
      </c>
    </row>
    <row r="194" spans="1:92">
      <c r="A194" s="25"/>
      <c r="B194" s="80">
        <v>43009</v>
      </c>
      <c r="C194" s="81">
        <f t="shared" si="131"/>
        <v>3.6968000000000001</v>
      </c>
      <c r="D194" s="82">
        <f t="shared" si="162"/>
        <v>3.8077040000000002</v>
      </c>
      <c r="E194" s="73">
        <f t="shared" ref="E194:E199" si="206">Z194</f>
        <v>-374.08344825943493</v>
      </c>
      <c r="F194" s="19">
        <f t="shared" ref="F194:F199" si="207">E194*D194</f>
        <v>-1424.3990422712434</v>
      </c>
      <c r="G194" s="19">
        <f t="shared" ref="G194:G199" si="208">U194</f>
        <v>-1179.6465179686782</v>
      </c>
      <c r="H194" s="19">
        <f t="shared" ref="H194:H199" si="209">G194-F194</f>
        <v>244.75252430256523</v>
      </c>
      <c r="I194" s="62"/>
      <c r="K194" s="15">
        <f>IF(B194&lt;=Dane_kredytowe!F$9,0,K193+1)</f>
        <v>114</v>
      </c>
      <c r="L194" s="83">
        <f t="shared" si="132"/>
        <v>-7.4000000000000003E-3</v>
      </c>
      <c r="M194" s="84">
        <f>L194+Dane_kredytowe!F$12</f>
        <v>2.2599999999999999E-2</v>
      </c>
      <c r="N194" s="79">
        <f>MAX(Dane_kredytowe!F$17+SUM(AA$5:AA193)-SUM(X$5:X194)+SUM(W$5:W194),0)</f>
        <v>73831.206434913125</v>
      </c>
      <c r="O194" s="85">
        <f>MAX(Dane_kredytowe!F$8+SUM(V$5:V193)-SUM(S$5:S194)+SUM(R$5:R193),0)</f>
        <v>232821.64980464426</v>
      </c>
      <c r="P194" s="67">
        <f t="shared" si="180"/>
        <v>360</v>
      </c>
      <c r="Q194" s="127" t="str">
        <f>IF(AND(K194&gt;0,K194&lt;=Dane_kredytowe!F$16),"tak","nie")</f>
        <v>nie</v>
      </c>
      <c r="R194" s="69"/>
      <c r="S194" s="86">
        <f>IF(Dane_kredytowe!F$19=B194,O193+V193,_xlfn.XLOOKUP(B194,Dane_kredytowe!M$9:M$18,Dane_kredytowe!N$9:N$18,0))</f>
        <v>0</v>
      </c>
      <c r="T194" s="71">
        <f t="shared" si="133"/>
        <v>-438.48077379874667</v>
      </c>
      <c r="U194" s="72">
        <f>IF(Q194="tak",T194,IF(P194-SUM(AB$5:AB194)+1&gt;0,IF(Dane_kredytowe!F$9&lt;B194,IF(SUM(AB$5:AB194)-Dane_kredytowe!F$16+1&gt;0,PMT(M194/12,P194+1-SUM(AB$5:AB194),O194),T194),0),0))</f>
        <v>-1179.6465179686782</v>
      </c>
      <c r="V194" s="72">
        <f t="shared" si="155"/>
        <v>-741.16574416993149</v>
      </c>
      <c r="W194" s="19" t="str">
        <f t="shared" si="156"/>
        <v xml:space="preserve"> </v>
      </c>
      <c r="X194" s="19">
        <f t="shared" si="169"/>
        <v>0</v>
      </c>
      <c r="Y194" s="73">
        <f t="shared" si="134"/>
        <v>-139.04877211908638</v>
      </c>
      <c r="Z194" s="19">
        <f>IF(P194-SUM(AB$5:AB194)+1&gt;0,IF(Dane_kredytowe!F$9&lt;B194,IF(SUM(AB$5:AB194)-Dane_kredytowe!F$16+1&gt;0,PMT(M194/12,P194+1-SUM(AB$5:AB194),N194),Y194),0),0)</f>
        <v>-374.08344825943493</v>
      </c>
      <c r="AA194" s="19">
        <f t="shared" ref="AA194:AA199" si="210">Z194-Y194</f>
        <v>-235.03467614034855</v>
      </c>
      <c r="AB194" s="20">
        <f>IF(AND(Dane_kredytowe!F$9&lt;B194,SUM(AB$5:AB193)&lt;P193),1," ")</f>
        <v>1</v>
      </c>
      <c r="AD194" s="75">
        <f>IF(OR(B194&lt;Dane_kredytowe!F$15,Dane_kredytowe!F$15=""),-F194+S194,0)</f>
        <v>0</v>
      </c>
      <c r="AE194" s="75">
        <f t="shared" si="135"/>
        <v>374.08344825943493</v>
      </c>
      <c r="AG194" s="22">
        <f>Dane_kredytowe!F$17-SUM(AI$5:AI193)+SUM(W$42:W194)-SUM(X$42:X194)</f>
        <v>65273.080000000075</v>
      </c>
      <c r="AH194" s="22">
        <f t="shared" si="136"/>
        <v>122.93</v>
      </c>
      <c r="AI194" s="22">
        <f t="shared" si="137"/>
        <v>264.26</v>
      </c>
      <c r="AJ194" s="22">
        <f t="shared" ref="AJ194:AJ199" si="211">AI194+AH194</f>
        <v>387.19</v>
      </c>
      <c r="AK194" s="22">
        <f t="shared" si="138"/>
        <v>1474.3</v>
      </c>
      <c r="AL194" s="22">
        <f>Dane_kredytowe!F$8-SUM(AN$5:AN193)+SUM(R$42:R193)-SUM(S$42:S194)</f>
        <v>205833.70999999985</v>
      </c>
      <c r="AM194" s="22">
        <f t="shared" si="139"/>
        <v>387.65</v>
      </c>
      <c r="AN194" s="22">
        <f t="shared" si="140"/>
        <v>833.33</v>
      </c>
      <c r="AO194" s="22">
        <f t="shared" ref="AO194:AO199" si="212">AN194+AM194</f>
        <v>1220.98</v>
      </c>
      <c r="AP194" s="22">
        <f t="shared" ref="AP194:AP199" si="213">AK194-AO194</f>
        <v>253.31999999999994</v>
      </c>
      <c r="AR194" s="87">
        <f t="shared" si="141"/>
        <v>43009</v>
      </c>
      <c r="AS194" s="23">
        <f>AS$5+SUM(AV$5:AV193)-SUM(X$5:X194)+SUM(W$5:W194)</f>
        <v>107917.70177280257</v>
      </c>
      <c r="AT194" s="22">
        <f t="shared" si="142"/>
        <v>-203.24500500544482</v>
      </c>
      <c r="AU194" s="22">
        <f>IF(AB194=1,IF(Q194="tak",AT194,PMT(M194/12,P194+1-SUM(AB$5:AB194),AS194)),0)</f>
        <v>-546.79082134452494</v>
      </c>
      <c r="AV194" s="22">
        <f t="shared" si="177"/>
        <v>-343.54581633908015</v>
      </c>
      <c r="AW194" s="22">
        <f t="shared" si="143"/>
        <v>-2021.3763083464398</v>
      </c>
      <c r="AY194" s="23">
        <f>AY$5+SUM(BA$5:BA193)+SUM(W$5:W193)-SUM(X$5:X193)</f>
        <v>95407.761437841909</v>
      </c>
      <c r="AZ194" s="23">
        <f t="shared" si="144"/>
        <v>-203.24500500544482</v>
      </c>
      <c r="BA194" s="23">
        <f t="shared" si="145"/>
        <v>-386.27</v>
      </c>
      <c r="BB194" s="23">
        <f t="shared" ref="BB194:BB199" si="214">BA194+AZ194</f>
        <v>-589.51500500544478</v>
      </c>
      <c r="BC194" s="23">
        <f t="shared" si="146"/>
        <v>-2179.3190705041284</v>
      </c>
      <c r="BE194" s="88">
        <f t="shared" si="147"/>
        <v>1.7299999999999999E-2</v>
      </c>
      <c r="BF194" s="89">
        <f>BE194+Dane_kredytowe!F$12</f>
        <v>4.7299999999999995E-2</v>
      </c>
      <c r="BG194" s="23">
        <f>BG$5+SUM(BH$5:BH193)+SUM(R$5:R193)-SUM(S$5:S193)</f>
        <v>256017.47530031056</v>
      </c>
      <c r="BH194" s="22">
        <f t="shared" ref="BH194:BH199" si="215">IF(BJ194&lt;0,BJ194-BI194,0)</f>
        <v>-614.4369689507779</v>
      </c>
      <c r="BI194" s="22">
        <f t="shared" ref="BI194:BI199" si="216">IF(BJ194&lt;0,-BG194*BF194/12,0)</f>
        <v>-1009.1355484753907</v>
      </c>
      <c r="BJ194" s="22">
        <f>IF(U194&lt;0,PMT(BF194/12,Dane_kredytowe!F$13-SUM(AB$5:AB194)+1,BG194),0)</f>
        <v>-1623.5725174261686</v>
      </c>
      <c r="BL194" s="23">
        <f>BL$5+SUM(BN$5:BN193)+SUM(R$5:R193)-SUM(S$5:S193)</f>
        <v>205833.33333333343</v>
      </c>
      <c r="BM194" s="23">
        <f t="shared" si="194"/>
        <v>-811.32638888888914</v>
      </c>
      <c r="BN194" s="23">
        <f t="shared" si="148"/>
        <v>-833.33333333333371</v>
      </c>
      <c r="BO194" s="23">
        <f t="shared" si="179"/>
        <v>-1644.6597222222229</v>
      </c>
      <c r="BQ194" s="89">
        <f t="shared" si="149"/>
        <v>3.4000000000000002E-2</v>
      </c>
      <c r="BR194" s="23">
        <f>BR$5+SUM(BS$5:BS193)+SUM(R$5:R193)-SUM(S$5:S193)+SUM(BV$5:BV193)</f>
        <v>291048.34044572548</v>
      </c>
      <c r="BS194" s="22">
        <f t="shared" si="163"/>
        <v>-815.32135170392326</v>
      </c>
      <c r="BT194" s="22">
        <f t="shared" si="164"/>
        <v>-824.63696459622224</v>
      </c>
      <c r="BU194" s="22">
        <f>IF(U194&lt;0,PMT(BQ194/12,Dane_kredytowe!F$13-SUM(AB$5:AB194)+1,BR194),0)</f>
        <v>-1639.9583163001455</v>
      </c>
      <c r="BV194" s="22">
        <f t="shared" si="157"/>
        <v>215.55927402890211</v>
      </c>
      <c r="BX194" s="23">
        <f>BX$5+SUM(BZ$5:BZ193)+SUM(R$5:R193)-SUM(S$5:S193)+SUM(CB$5,CB193)</f>
        <v>205678.9203771883</v>
      </c>
      <c r="BY194" s="22">
        <f t="shared" si="150"/>
        <v>-582.75694106870026</v>
      </c>
      <c r="BZ194" s="22">
        <f t="shared" si="151"/>
        <v>-832.70817966472998</v>
      </c>
      <c r="CA194" s="22">
        <f t="shared" si="165"/>
        <v>-1415.4651207334302</v>
      </c>
      <c r="CB194" s="22">
        <f t="shared" si="166"/>
        <v>-8.9339215378131485</v>
      </c>
      <c r="CD194" s="22">
        <f>CD$5+SUM(CE$5:CE193)+SUM(R$5:R193)-SUM(S$5:S193)-SUM(CF$5:CF193)</f>
        <v>267094.61912456423</v>
      </c>
      <c r="CE194" s="22">
        <f t="shared" si="158"/>
        <v>582.75694106870026</v>
      </c>
      <c r="CF194" s="22">
        <f t="shared" si="152"/>
        <v>1424.3990422712434</v>
      </c>
      <c r="CG194" s="22">
        <f t="shared" si="159"/>
        <v>841.64210120254313</v>
      </c>
      <c r="CI194" s="89">
        <f t="shared" si="153"/>
        <v>0.44819999999999999</v>
      </c>
      <c r="CJ194" s="22">
        <f t="shared" si="154"/>
        <v>-638.41999999999996</v>
      </c>
      <c r="CK194" s="15">
        <f t="shared" si="160"/>
        <v>0</v>
      </c>
      <c r="CM194" s="22">
        <f t="shared" si="161"/>
        <v>-160098.57437314291</v>
      </c>
      <c r="CN194" s="15">
        <f t="shared" si="167"/>
        <v>-230.80877805461435</v>
      </c>
    </row>
    <row r="195" spans="1:92">
      <c r="A195" s="25"/>
      <c r="B195" s="80">
        <v>43040</v>
      </c>
      <c r="C195" s="81">
        <f t="shared" si="131"/>
        <v>3.6328</v>
      </c>
      <c r="D195" s="82">
        <f t="shared" si="162"/>
        <v>3.741784</v>
      </c>
      <c r="E195" s="73">
        <f t="shared" si="206"/>
        <v>-374.08344825943499</v>
      </c>
      <c r="F195" s="19">
        <f t="shared" si="207"/>
        <v>-1399.7394613619817</v>
      </c>
      <c r="G195" s="19">
        <f t="shared" si="208"/>
        <v>-1179.6465179686782</v>
      </c>
      <c r="H195" s="19">
        <f t="shared" si="209"/>
        <v>220.09294339330359</v>
      </c>
      <c r="I195" s="62"/>
      <c r="K195" s="15">
        <f>IF(B195&lt;=Dane_kredytowe!F$9,0,K194+1)</f>
        <v>115</v>
      </c>
      <c r="L195" s="83">
        <f t="shared" si="132"/>
        <v>-7.4000000000000003E-3</v>
      </c>
      <c r="M195" s="84">
        <f>L195+Dane_kredytowe!F$12</f>
        <v>2.2599999999999999E-2</v>
      </c>
      <c r="N195" s="79">
        <f>MAX(Dane_kredytowe!F$17+SUM(AA$5:AA194)-SUM(X$5:X195)+SUM(W$5:W195),0)</f>
        <v>73596.171758772776</v>
      </c>
      <c r="O195" s="85">
        <f>MAX(Dane_kredytowe!F$8+SUM(V$5:V194)-SUM(S$5:S195)+SUM(R$5:R194),0)</f>
        <v>232080.48406047432</v>
      </c>
      <c r="P195" s="67">
        <f t="shared" si="180"/>
        <v>360</v>
      </c>
      <c r="Q195" s="127" t="str">
        <f>IF(AND(K195&gt;0,K195&lt;=Dane_kredytowe!F$16),"tak","nie")</f>
        <v>nie</v>
      </c>
      <c r="R195" s="69"/>
      <c r="S195" s="86">
        <f>IF(Dane_kredytowe!F$19=B195,O194+V194,_xlfn.XLOOKUP(B195,Dane_kredytowe!M$9:M$18,Dane_kredytowe!N$9:N$18,0))</f>
        <v>0</v>
      </c>
      <c r="T195" s="71">
        <f t="shared" si="133"/>
        <v>-437.08491164722659</v>
      </c>
      <c r="U195" s="72">
        <f>IF(Q195="tak",T195,IF(P195-SUM(AB$5:AB195)+1&gt;0,IF(Dane_kredytowe!F$9&lt;B195,IF(SUM(AB$5:AB195)-Dane_kredytowe!F$16+1&gt;0,PMT(M195/12,P195+1-SUM(AB$5:AB195),O195),T195),0),0))</f>
        <v>-1179.6465179686782</v>
      </c>
      <c r="V195" s="72">
        <f t="shared" si="155"/>
        <v>-742.56160632145156</v>
      </c>
      <c r="W195" s="19" t="str">
        <f t="shared" si="156"/>
        <v xml:space="preserve"> </v>
      </c>
      <c r="X195" s="19">
        <f t="shared" si="169"/>
        <v>0</v>
      </c>
      <c r="Y195" s="73">
        <f t="shared" si="134"/>
        <v>-138.60612347902205</v>
      </c>
      <c r="Z195" s="19">
        <f>IF(P195-SUM(AB$5:AB195)+1&gt;0,IF(Dane_kredytowe!F$9&lt;B195,IF(SUM(AB$5:AB195)-Dane_kredytowe!F$16+1&gt;0,PMT(M195/12,P195+1-SUM(AB$5:AB195),N195),Y195),0),0)</f>
        <v>-374.08344825943499</v>
      </c>
      <c r="AA195" s="19">
        <f t="shared" si="210"/>
        <v>-235.47732478041294</v>
      </c>
      <c r="AB195" s="20">
        <f>IF(AND(Dane_kredytowe!F$9&lt;B195,SUM(AB$5:AB194)&lt;P194),1," ")</f>
        <v>1</v>
      </c>
      <c r="AD195" s="75">
        <f>IF(OR(B195&lt;Dane_kredytowe!F$15,Dane_kredytowe!F$15=""),-F195+S195,0)</f>
        <v>0</v>
      </c>
      <c r="AE195" s="75">
        <f t="shared" si="135"/>
        <v>374.08344825943499</v>
      </c>
      <c r="AG195" s="22">
        <f>Dane_kredytowe!F$17-SUM(AI$5:AI194)+SUM(W$42:W195)-SUM(X$42:X195)</f>
        <v>65008.82000000008</v>
      </c>
      <c r="AH195" s="22">
        <f t="shared" si="136"/>
        <v>122.43</v>
      </c>
      <c r="AI195" s="22">
        <f t="shared" si="137"/>
        <v>264.26</v>
      </c>
      <c r="AJ195" s="22">
        <f t="shared" si="211"/>
        <v>386.69</v>
      </c>
      <c r="AK195" s="22">
        <f t="shared" si="138"/>
        <v>1446.91</v>
      </c>
      <c r="AL195" s="22">
        <f>Dane_kredytowe!F$8-SUM(AN$5:AN194)+SUM(R$42:R194)-SUM(S$42:S195)</f>
        <v>205000.37999999983</v>
      </c>
      <c r="AM195" s="22">
        <f t="shared" si="139"/>
        <v>386.08</v>
      </c>
      <c r="AN195" s="22">
        <f t="shared" si="140"/>
        <v>833.33</v>
      </c>
      <c r="AO195" s="22">
        <f t="shared" si="212"/>
        <v>1219.4100000000001</v>
      </c>
      <c r="AP195" s="22">
        <f t="shared" si="213"/>
        <v>227.5</v>
      </c>
      <c r="AR195" s="87">
        <f t="shared" si="141"/>
        <v>43040</v>
      </c>
      <c r="AS195" s="23">
        <f>AS$5+SUM(AV$5:AV194)-SUM(X$5:X195)+SUM(W$5:W195)</f>
        <v>107574.1559564635</v>
      </c>
      <c r="AT195" s="22">
        <f t="shared" si="142"/>
        <v>-202.59799371800625</v>
      </c>
      <c r="AU195" s="22">
        <f>IF(AB195=1,IF(Q195="tak",AT195,PMT(M195/12,P195+1-SUM(AB$5:AB195),AS195)),0)</f>
        <v>-546.79082134452506</v>
      </c>
      <c r="AV195" s="22">
        <f t="shared" si="177"/>
        <v>-344.19282762651881</v>
      </c>
      <c r="AW195" s="22">
        <f t="shared" si="143"/>
        <v>-1986.3816957803906</v>
      </c>
      <c r="AY195" s="23">
        <f>AY$5+SUM(BA$5:BA194)+SUM(W$5:W194)-SUM(X$5:X194)</f>
        <v>95021.491437841905</v>
      </c>
      <c r="AZ195" s="23">
        <f t="shared" si="144"/>
        <v>-202.59799371800625</v>
      </c>
      <c r="BA195" s="23">
        <f t="shared" si="145"/>
        <v>-386.27</v>
      </c>
      <c r="BB195" s="23">
        <f t="shared" si="214"/>
        <v>-588.86799371800623</v>
      </c>
      <c r="BC195" s="23">
        <f t="shared" si="146"/>
        <v>-2139.2396475787732</v>
      </c>
      <c r="BE195" s="88">
        <f t="shared" si="147"/>
        <v>1.7299999999999999E-2</v>
      </c>
      <c r="BF195" s="89">
        <f>BE195+Dane_kredytowe!F$12</f>
        <v>4.7299999999999995E-2</v>
      </c>
      <c r="BG195" s="23">
        <f>BG$5+SUM(BH$5:BH194)+SUM(R$5:R194)-SUM(S$5:S194)</f>
        <v>255403.03833135977</v>
      </c>
      <c r="BH195" s="22">
        <f t="shared" si="215"/>
        <v>-616.85887467005875</v>
      </c>
      <c r="BI195" s="22">
        <f t="shared" si="216"/>
        <v>-1006.7136427561096</v>
      </c>
      <c r="BJ195" s="22">
        <f>IF(U195&lt;0,PMT(BF195/12,Dane_kredytowe!F$13-SUM(AB$5:AB195)+1,BG195),0)</f>
        <v>-1623.5725174261684</v>
      </c>
      <c r="BL195" s="23">
        <f>BL$5+SUM(BN$5:BN194)+SUM(R$5:R194)-SUM(S$5:S194)</f>
        <v>205000.00000000012</v>
      </c>
      <c r="BM195" s="23">
        <f t="shared" si="194"/>
        <v>-808.04166666666697</v>
      </c>
      <c r="BN195" s="23">
        <f t="shared" si="148"/>
        <v>-833.33333333333383</v>
      </c>
      <c r="BO195" s="23">
        <f t="shared" si="179"/>
        <v>-1641.3750000000009</v>
      </c>
      <c r="BQ195" s="89">
        <f t="shared" si="149"/>
        <v>3.4000000000000002E-2</v>
      </c>
      <c r="BR195" s="23">
        <f>BR$5+SUM(BS$5:BS194)+SUM(R$5:R194)-SUM(S$5:S194)+SUM(BV$5:BV194)</f>
        <v>290448.57836805045</v>
      </c>
      <c r="BS195" s="22">
        <f t="shared" si="163"/>
        <v>-818.23869277447841</v>
      </c>
      <c r="BT195" s="22">
        <f t="shared" si="164"/>
        <v>-822.93763870947635</v>
      </c>
      <c r="BU195" s="22">
        <f>IF(U195&lt;0,PMT(BQ195/12,Dane_kredytowe!F$13-SUM(AB$5:AB195)+1,BR195),0)</f>
        <v>-1641.1763314839548</v>
      </c>
      <c r="BV195" s="22">
        <f t="shared" si="157"/>
        <v>241.43687012197302</v>
      </c>
      <c r="BX195" s="23">
        <f>BX$5+SUM(BZ$5:BZ194)+SUM(R$5:R194)-SUM(S$5:S194)+SUM(CB$5,CB194)</f>
        <v>204853.61436201114</v>
      </c>
      <c r="BY195" s="22">
        <f t="shared" si="150"/>
        <v>-580.41857402569826</v>
      </c>
      <c r="BZ195" s="22">
        <f t="shared" si="151"/>
        <v>-832.7382697642729</v>
      </c>
      <c r="CA195" s="22">
        <f t="shared" si="165"/>
        <v>-1413.1568437899712</v>
      </c>
      <c r="CB195" s="22">
        <f t="shared" si="166"/>
        <v>13.417382427989423</v>
      </c>
      <c r="CD195" s="22">
        <f>CD$5+SUM(CE$5:CE194)+SUM(R$5:R194)-SUM(S$5:S194)-SUM(CF$5:CF194)</f>
        <v>266252.97702336166</v>
      </c>
      <c r="CE195" s="22">
        <f t="shared" si="158"/>
        <v>580.41857402569826</v>
      </c>
      <c r="CF195" s="22">
        <f t="shared" si="152"/>
        <v>1399.7394613619817</v>
      </c>
      <c r="CG195" s="22">
        <f t="shared" si="159"/>
        <v>819.32088733628348</v>
      </c>
      <c r="CI195" s="89">
        <f t="shared" si="153"/>
        <v>0.441</v>
      </c>
      <c r="CJ195" s="22">
        <f t="shared" si="154"/>
        <v>-617.29</v>
      </c>
      <c r="CK195" s="15">
        <f t="shared" si="160"/>
        <v>0</v>
      </c>
      <c r="CM195" s="22">
        <f t="shared" si="161"/>
        <v>-161498.31383450489</v>
      </c>
      <c r="CN195" s="15">
        <f t="shared" si="167"/>
        <v>-232.8267357780779</v>
      </c>
    </row>
    <row r="196" spans="1:92">
      <c r="A196" s="25"/>
      <c r="B196" s="80">
        <v>43070</v>
      </c>
      <c r="C196" s="81">
        <f t="shared" si="131"/>
        <v>3.5937999999999999</v>
      </c>
      <c r="D196" s="82">
        <f t="shared" si="162"/>
        <v>3.7016140000000002</v>
      </c>
      <c r="E196" s="73">
        <f t="shared" si="206"/>
        <v>-374.0834482594351</v>
      </c>
      <c r="F196" s="19">
        <f t="shared" si="207"/>
        <v>-1384.7125292454007</v>
      </c>
      <c r="G196" s="19">
        <f t="shared" si="208"/>
        <v>-1179.6465179686782</v>
      </c>
      <c r="H196" s="19">
        <f t="shared" si="209"/>
        <v>205.06601127672252</v>
      </c>
      <c r="I196" s="62"/>
      <c r="K196" s="15">
        <f>IF(B196&lt;=Dane_kredytowe!F$9,0,K195+1)</f>
        <v>116</v>
      </c>
      <c r="L196" s="83">
        <f t="shared" si="132"/>
        <v>-7.4000000000000003E-3</v>
      </c>
      <c r="M196" s="84">
        <f>L196+Dane_kredytowe!F$12</f>
        <v>2.2599999999999999E-2</v>
      </c>
      <c r="N196" s="79">
        <f>MAX(Dane_kredytowe!F$17+SUM(AA$5:AA195)-SUM(X$5:X196)+SUM(W$5:W196),0)</f>
        <v>73360.694433992379</v>
      </c>
      <c r="O196" s="85">
        <f>MAX(Dane_kredytowe!F$8+SUM(V$5:V195)-SUM(S$5:S196)+SUM(R$5:R195),0)</f>
        <v>231337.92245415287</v>
      </c>
      <c r="P196" s="67">
        <f t="shared" si="180"/>
        <v>360</v>
      </c>
      <c r="Q196" s="127" t="str">
        <f>IF(AND(K196&gt;0,K196&lt;=Dane_kredytowe!F$16),"tak","nie")</f>
        <v>nie</v>
      </c>
      <c r="R196" s="69"/>
      <c r="S196" s="86">
        <f>IF(Dane_kredytowe!F$19=B196,O195+V195,_xlfn.XLOOKUP(B196,Dane_kredytowe!M$9:M$18,Dane_kredytowe!N$9:N$18,0))</f>
        <v>0</v>
      </c>
      <c r="T196" s="71">
        <f t="shared" si="133"/>
        <v>-435.68642062198791</v>
      </c>
      <c r="U196" s="72">
        <f>IF(Q196="tak",T196,IF(P196-SUM(AB$5:AB196)+1&gt;0,IF(Dane_kredytowe!F$9&lt;B196,IF(SUM(AB$5:AB196)-Dane_kredytowe!F$16+1&gt;0,PMT(M196/12,P196+1-SUM(AB$5:AB196),O196),T196),0),0))</f>
        <v>-1179.6465179686782</v>
      </c>
      <c r="V196" s="72">
        <f t="shared" si="155"/>
        <v>-743.96009734669019</v>
      </c>
      <c r="W196" s="19" t="str">
        <f t="shared" si="156"/>
        <v xml:space="preserve"> </v>
      </c>
      <c r="X196" s="19">
        <f t="shared" si="169"/>
        <v>0</v>
      </c>
      <c r="Y196" s="73">
        <f t="shared" si="134"/>
        <v>-138.16264118401898</v>
      </c>
      <c r="Z196" s="19">
        <f>IF(P196-SUM(AB$5:AB196)+1&gt;0,IF(Dane_kredytowe!F$9&lt;B196,IF(SUM(AB$5:AB196)-Dane_kredytowe!F$16+1&gt;0,PMT(M196/12,P196+1-SUM(AB$5:AB196),N196),Y196),0),0)</f>
        <v>-374.0834482594351</v>
      </c>
      <c r="AA196" s="19">
        <f t="shared" si="210"/>
        <v>-235.92080707541612</v>
      </c>
      <c r="AB196" s="20">
        <f>IF(AND(Dane_kredytowe!F$9&lt;B196,SUM(AB$5:AB195)&lt;P195),1," ")</f>
        <v>1</v>
      </c>
      <c r="AD196" s="75">
        <f>IF(OR(B196&lt;Dane_kredytowe!F$15,Dane_kredytowe!F$15=""),-F196+S196,0)</f>
        <v>0</v>
      </c>
      <c r="AE196" s="75">
        <f t="shared" si="135"/>
        <v>374.0834482594351</v>
      </c>
      <c r="AG196" s="22">
        <f>Dane_kredytowe!F$17-SUM(AI$5:AI195)+SUM(W$42:W196)-SUM(X$42:X196)</f>
        <v>64744.560000000085</v>
      </c>
      <c r="AH196" s="22">
        <f t="shared" si="136"/>
        <v>121.94</v>
      </c>
      <c r="AI196" s="22">
        <f t="shared" si="137"/>
        <v>264.26</v>
      </c>
      <c r="AJ196" s="22">
        <f t="shared" si="211"/>
        <v>386.2</v>
      </c>
      <c r="AK196" s="22">
        <f t="shared" si="138"/>
        <v>1429.56</v>
      </c>
      <c r="AL196" s="22">
        <f>Dane_kredytowe!F$8-SUM(AN$5:AN195)+SUM(R$42:R195)-SUM(S$42:S196)</f>
        <v>204167.04999999984</v>
      </c>
      <c r="AM196" s="22">
        <f t="shared" si="139"/>
        <v>384.51</v>
      </c>
      <c r="AN196" s="22">
        <f t="shared" si="140"/>
        <v>833.33</v>
      </c>
      <c r="AO196" s="22">
        <f t="shared" si="212"/>
        <v>1217.8400000000001</v>
      </c>
      <c r="AP196" s="22">
        <f t="shared" si="213"/>
        <v>211.7199999999998</v>
      </c>
      <c r="AR196" s="87">
        <f t="shared" si="141"/>
        <v>43070</v>
      </c>
      <c r="AS196" s="23">
        <f>AS$5+SUM(AV$5:AV195)-SUM(X$5:X196)+SUM(W$5:W196)</f>
        <v>107229.96312883697</v>
      </c>
      <c r="AT196" s="22">
        <f t="shared" si="142"/>
        <v>-201.94976389264295</v>
      </c>
      <c r="AU196" s="22">
        <f>IF(AB196=1,IF(Q196="tak",AT196,PMT(M196/12,P196+1-SUM(AB$5:AB196),AS196)),0)</f>
        <v>-546.79082134452506</v>
      </c>
      <c r="AV196" s="22">
        <f t="shared" si="177"/>
        <v>-344.84105745188208</v>
      </c>
      <c r="AW196" s="22">
        <f t="shared" si="143"/>
        <v>-1965.0568537479542</v>
      </c>
      <c r="AY196" s="23">
        <f>AY$5+SUM(BA$5:BA195)+SUM(W$5:W195)-SUM(X$5:X195)</f>
        <v>94635.221437841916</v>
      </c>
      <c r="AZ196" s="23">
        <f t="shared" si="144"/>
        <v>-201.94976389264295</v>
      </c>
      <c r="BA196" s="23">
        <f t="shared" si="145"/>
        <v>-386.27</v>
      </c>
      <c r="BB196" s="23">
        <f t="shared" si="214"/>
        <v>-588.21976389264296</v>
      </c>
      <c r="BC196" s="23">
        <f t="shared" si="146"/>
        <v>-2113.9441874773802</v>
      </c>
      <c r="BE196" s="88">
        <f t="shared" si="147"/>
        <v>1.72E-2</v>
      </c>
      <c r="BF196" s="89">
        <f>BE196+Dane_kredytowe!F$12</f>
        <v>4.7199999999999999E-2</v>
      </c>
      <c r="BG196" s="23">
        <f>BG$5+SUM(BH$5:BH195)+SUM(R$5:R195)-SUM(S$5:S195)</f>
        <v>254786.17945668972</v>
      </c>
      <c r="BH196" s="22">
        <f t="shared" si="215"/>
        <v>-620.01741373389564</v>
      </c>
      <c r="BI196" s="22">
        <f t="shared" si="216"/>
        <v>-1002.1589725296462</v>
      </c>
      <c r="BJ196" s="22">
        <f>IF(U196&lt;0,PMT(BF196/12,Dane_kredytowe!F$13-SUM(AB$5:AB196)+1,BG196),0)</f>
        <v>-1622.1763862635419</v>
      </c>
      <c r="BL196" s="23">
        <f>BL$5+SUM(BN$5:BN195)+SUM(R$5:R195)-SUM(S$5:S195)</f>
        <v>204166.66666666677</v>
      </c>
      <c r="BM196" s="23">
        <f t="shared" si="194"/>
        <v>-803.055555555556</v>
      </c>
      <c r="BN196" s="23">
        <f t="shared" si="148"/>
        <v>-833.33333333333371</v>
      </c>
      <c r="BO196" s="23">
        <f t="shared" si="179"/>
        <v>-1636.3888888888896</v>
      </c>
      <c r="BQ196" s="89">
        <f t="shared" si="149"/>
        <v>3.39E-2</v>
      </c>
      <c r="BR196" s="23">
        <f>BR$5+SUM(BS$5:BS195)+SUM(R$5:R195)-SUM(S$5:S195)+SUM(BV$5:BV195)</f>
        <v>289871.77654539794</v>
      </c>
      <c r="BS196" s="22">
        <f t="shared" si="163"/>
        <v>-822.16982993027966</v>
      </c>
      <c r="BT196" s="22">
        <f t="shared" si="164"/>
        <v>-818.88776874074927</v>
      </c>
      <c r="BU196" s="22">
        <f>IF(U196&lt;0,PMT(BQ196/12,Dane_kredytowe!F$13-SUM(AB$5:AB196)+1,BR196),0)</f>
        <v>-1641.0575986710289</v>
      </c>
      <c r="BV196" s="22">
        <f t="shared" si="157"/>
        <v>256.34506942562825</v>
      </c>
      <c r="BX196" s="23">
        <f>BX$5+SUM(BZ$5:BZ195)+SUM(R$5:R195)-SUM(S$5:S195)+SUM(CB$5,CB195)</f>
        <v>204043.22739621269</v>
      </c>
      <c r="BY196" s="22">
        <f t="shared" si="150"/>
        <v>-576.42211739430081</v>
      </c>
      <c r="BZ196" s="22">
        <f t="shared" si="151"/>
        <v>-832.82949957637834</v>
      </c>
      <c r="CA196" s="22">
        <f t="shared" si="165"/>
        <v>-1409.2516169706792</v>
      </c>
      <c r="CB196" s="22">
        <f t="shared" si="166"/>
        <v>24.539087725278478</v>
      </c>
      <c r="CD196" s="22">
        <f>CD$5+SUM(CE$5:CE195)+SUM(R$5:R195)-SUM(S$5:S195)-SUM(CF$5:CF195)</f>
        <v>265433.65613602533</v>
      </c>
      <c r="CE196" s="22">
        <f t="shared" si="158"/>
        <v>576.42211739430081</v>
      </c>
      <c r="CF196" s="22">
        <f t="shared" si="152"/>
        <v>1384.7125292454007</v>
      </c>
      <c r="CG196" s="22">
        <f t="shared" si="159"/>
        <v>808.29041185109986</v>
      </c>
      <c r="CI196" s="89">
        <f t="shared" si="153"/>
        <v>0.43819999999999998</v>
      </c>
      <c r="CJ196" s="22">
        <f t="shared" si="154"/>
        <v>-606.78</v>
      </c>
      <c r="CK196" s="15">
        <f t="shared" si="160"/>
        <v>0</v>
      </c>
      <c r="CM196" s="22">
        <f t="shared" si="161"/>
        <v>-162883.02636375031</v>
      </c>
      <c r="CN196" s="15">
        <f t="shared" si="167"/>
        <v>-233.46567112137544</v>
      </c>
    </row>
    <row r="197" spans="1:92">
      <c r="A197" s="25">
        <v>2018</v>
      </c>
      <c r="B197" s="80">
        <v>43101</v>
      </c>
      <c r="C197" s="81">
        <f t="shared" ref="C197:C240" si="217">VLOOKUP(B197,Kursy,C$2)</f>
        <v>3.5510999999999999</v>
      </c>
      <c r="D197" s="82">
        <f t="shared" si="162"/>
        <v>3.6576330000000001</v>
      </c>
      <c r="E197" s="73">
        <f t="shared" si="206"/>
        <v>-374.08344825943504</v>
      </c>
      <c r="F197" s="19">
        <f t="shared" si="207"/>
        <v>-1368.2599651075022</v>
      </c>
      <c r="G197" s="19">
        <f t="shared" si="208"/>
        <v>-1179.6465179686782</v>
      </c>
      <c r="H197" s="19">
        <f t="shared" si="209"/>
        <v>188.61344713882409</v>
      </c>
      <c r="I197" s="62"/>
      <c r="K197" s="15">
        <f>IF(B197&lt;=Dane_kredytowe!F$9,0,K196+1)</f>
        <v>117</v>
      </c>
      <c r="L197" s="83">
        <f t="shared" ref="L197:L240" si="218">VLOOKUP(B197,Oproc,C$2)</f>
        <v>-7.4000000000000003E-3</v>
      </c>
      <c r="M197" s="84">
        <f>L197+Dane_kredytowe!F$12</f>
        <v>2.2599999999999999E-2</v>
      </c>
      <c r="N197" s="79">
        <f>MAX(Dane_kredytowe!F$17+SUM(AA$5:AA196)-SUM(X$5:X197)+SUM(W$5:W197),0)</f>
        <v>73124.773626916955</v>
      </c>
      <c r="O197" s="85">
        <f>MAX(Dane_kredytowe!F$8+SUM(V$5:V196)-SUM(S$5:S197)+SUM(R$5:R196),0)</f>
        <v>230593.96235680618</v>
      </c>
      <c r="P197" s="67">
        <f t="shared" si="180"/>
        <v>360</v>
      </c>
      <c r="Q197" s="127" t="str">
        <f>IF(AND(K197&gt;0,K197&lt;=Dane_kredytowe!F$16),"tak","nie")</f>
        <v>nie</v>
      </c>
      <c r="R197" s="69"/>
      <c r="S197" s="86">
        <f>IF(Dane_kredytowe!F$19=B197,O196+V196,_xlfn.XLOOKUP(B197,Dane_kredytowe!M$9:M$18,Dane_kredytowe!N$9:N$18,0))</f>
        <v>0</v>
      </c>
      <c r="T197" s="71">
        <f t="shared" ref="T197:T260" si="219">IF(AB197=1,-O197*M197/12,0)</f>
        <v>-434.28529577198492</v>
      </c>
      <c r="U197" s="72">
        <f>IF(Q197="tak",T197,IF(P197-SUM(AB$5:AB197)+1&gt;0,IF(Dane_kredytowe!F$9&lt;B197,IF(SUM(AB$5:AB197)-Dane_kredytowe!F$16+1&gt;0,PMT(M197/12,P197+1-SUM(AB$5:AB197),O197),T197),0),0))</f>
        <v>-1179.6465179686782</v>
      </c>
      <c r="V197" s="72">
        <f t="shared" si="155"/>
        <v>-745.36122219669323</v>
      </c>
      <c r="W197" s="19" t="str">
        <f t="shared" si="156"/>
        <v xml:space="preserve"> </v>
      </c>
      <c r="X197" s="19">
        <f t="shared" si="169"/>
        <v>0</v>
      </c>
      <c r="Y197" s="73">
        <f t="shared" ref="Y197:Y260" si="220">IF(AB197=1,-N197*M197/12,0)</f>
        <v>-137.71832366402694</v>
      </c>
      <c r="Z197" s="19">
        <f>IF(P197-SUM(AB$5:AB197)+1&gt;0,IF(Dane_kredytowe!F$9&lt;B197,IF(SUM(AB$5:AB197)-Dane_kredytowe!F$16+1&gt;0,PMT(M197/12,P197+1-SUM(AB$5:AB197),N197),Y197),0),0)</f>
        <v>-374.08344825943504</v>
      </c>
      <c r="AA197" s="19">
        <f t="shared" si="210"/>
        <v>-236.3651245954081</v>
      </c>
      <c r="AB197" s="20">
        <f>IF(AND(Dane_kredytowe!F$9&lt;B197,SUM(AB$5:AB196)&lt;P196),1," ")</f>
        <v>1</v>
      </c>
      <c r="AD197" s="75">
        <f>IF(OR(B197&lt;Dane_kredytowe!F$15,Dane_kredytowe!F$15=""),-F197+S197,0)</f>
        <v>0</v>
      </c>
      <c r="AE197" s="75">
        <f t="shared" ref="AE197:AE260" si="221">IF(AD197=0,-E197+X197,0)</f>
        <v>374.08344825943504</v>
      </c>
      <c r="AG197" s="22">
        <f>Dane_kredytowe!F$17-SUM(AI$5:AI196)+SUM(W$42:W197)-SUM(X$42:X197)</f>
        <v>64480.300000000083</v>
      </c>
      <c r="AH197" s="22">
        <f t="shared" ref="AH197:AH260" si="222">IF(AB197=1,ROUND(AG197*M197/12,2),0)</f>
        <v>121.44</v>
      </c>
      <c r="AI197" s="22">
        <f t="shared" ref="AI197:AI260" si="223">IF(Q197="tak",0,IF(AB197=1,ROUND(AG197/(P197-K197+1),2),0))</f>
        <v>264.26</v>
      </c>
      <c r="AJ197" s="22">
        <f t="shared" si="211"/>
        <v>385.7</v>
      </c>
      <c r="AK197" s="22">
        <f t="shared" ref="AK197:AK260" si="224">ROUND(AJ197*D197,2)</f>
        <v>1410.75</v>
      </c>
      <c r="AL197" s="22">
        <f>Dane_kredytowe!F$8-SUM(AN$5:AN196)+SUM(R$42:R196)-SUM(S$42:S197)</f>
        <v>203333.71999999986</v>
      </c>
      <c r="AM197" s="22">
        <f t="shared" ref="AM197:AM260" si="225">IF(AB197=1,ROUND(AL197*M197/12,2),0)</f>
        <v>382.95</v>
      </c>
      <c r="AN197" s="22">
        <f t="shared" ref="AN197:AN260" si="226">IF(Q197="tak",0,IF(AB197=1,ROUND(AL197/(P197-K197+1),2),0))</f>
        <v>833.33</v>
      </c>
      <c r="AO197" s="22">
        <f t="shared" si="212"/>
        <v>1216.28</v>
      </c>
      <c r="AP197" s="22">
        <f t="shared" si="213"/>
        <v>194.47000000000003</v>
      </c>
      <c r="AR197" s="87">
        <f t="shared" ref="AR197:AR260" si="227">B197</f>
        <v>43101</v>
      </c>
      <c r="AS197" s="23">
        <f>AS$5+SUM(AV$5:AV196)-SUM(X$5:X197)+SUM(W$5:W197)</f>
        <v>106885.12207138509</v>
      </c>
      <c r="AT197" s="22">
        <f t="shared" ref="AT197:AT260" si="228">IF(AB197=1,-AS197*M197/12,0)</f>
        <v>-201.30031323444192</v>
      </c>
      <c r="AU197" s="22">
        <f>IF(AB197=1,IF(Q197="tak",AT197,PMT(M197/12,P197+1-SUM(AB$5:AB197),AS197)),0)</f>
        <v>-546.79082134452506</v>
      </c>
      <c r="AV197" s="22">
        <f t="shared" si="177"/>
        <v>-345.49050811008317</v>
      </c>
      <c r="AW197" s="22">
        <f t="shared" ref="AW197:AW260" si="229">AU197*C197</f>
        <v>-1941.7088856765429</v>
      </c>
      <c r="AY197" s="23">
        <f>AY$5+SUM(BA$5:BA196)+SUM(W$5:W196)-SUM(X$5:X196)</f>
        <v>94248.951437841926</v>
      </c>
      <c r="AZ197" s="23">
        <f t="shared" ref="AZ197:AZ260" si="230">IF(AB197=1,-AS197*M197/12,0)</f>
        <v>-201.30031323444192</v>
      </c>
      <c r="BA197" s="23">
        <f t="shared" ref="BA197:BA260" si="231">IF(AB197=1,IF(Q197="tak",0,ROUND(-AY197/(P197-K197+1),2)),0)</f>
        <v>-386.27</v>
      </c>
      <c r="BB197" s="23">
        <f t="shared" si="214"/>
        <v>-587.57031323444187</v>
      </c>
      <c r="BC197" s="23">
        <f t="shared" ref="BC197:BC260" si="232">BB197*C197</f>
        <v>-2086.5209393268265</v>
      </c>
      <c r="BE197" s="88">
        <f t="shared" ref="BE197:BE260" si="233">VLOOKUP(B197,Oproc,5)</f>
        <v>1.72E-2</v>
      </c>
      <c r="BF197" s="89">
        <f>BE197+Dane_kredytowe!F$12</f>
        <v>4.7199999999999999E-2</v>
      </c>
      <c r="BG197" s="23">
        <f>BG$5+SUM(BH$5:BH196)+SUM(R$5:R196)-SUM(S$5:S196)</f>
        <v>254166.16204295581</v>
      </c>
      <c r="BH197" s="22">
        <f t="shared" si="215"/>
        <v>-622.45614889458227</v>
      </c>
      <c r="BI197" s="22">
        <f t="shared" si="216"/>
        <v>-999.7202373689596</v>
      </c>
      <c r="BJ197" s="22">
        <f>IF(U197&lt;0,PMT(BF197/12,Dane_kredytowe!F$13-SUM(AB$5:AB197)+1,BG197),0)</f>
        <v>-1622.1763862635419</v>
      </c>
      <c r="BL197" s="23">
        <f>BL$5+SUM(BN$5:BN196)+SUM(R$5:R196)-SUM(S$5:S196)</f>
        <v>203333.33333333343</v>
      </c>
      <c r="BM197" s="23">
        <f t="shared" si="194"/>
        <v>-799.77777777777817</v>
      </c>
      <c r="BN197" s="23">
        <f t="shared" ref="BN197:BN260" si="234">IF(AB197=1,-BL197/(P197-K197+1),0)</f>
        <v>-833.33333333333371</v>
      </c>
      <c r="BO197" s="23">
        <f t="shared" si="179"/>
        <v>-1633.1111111111118</v>
      </c>
      <c r="BQ197" s="89">
        <f t="shared" ref="BQ197:BQ244" si="235">BE197+$BQ$4</f>
        <v>3.39E-2</v>
      </c>
      <c r="BR197" s="23">
        <f>BR$5+SUM(BS$5:BS196)+SUM(R$5:R196)-SUM(S$5:S196)+SUM(BV$5:BV196)</f>
        <v>289305.95178489329</v>
      </c>
      <c r="BS197" s="22">
        <f t="shared" si="163"/>
        <v>-825.22366490444858</v>
      </c>
      <c r="BT197" s="22">
        <f t="shared" si="164"/>
        <v>-817.28931379232347</v>
      </c>
      <c r="BU197" s="22">
        <f>IF(U197&lt;0,PMT(BQ197/12,Dane_kredytowe!F$13-SUM(AB$5:AB197)+1,BR197),0)</f>
        <v>-1642.5129786967721</v>
      </c>
      <c r="BV197" s="22">
        <f t="shared" si="157"/>
        <v>274.25301358926981</v>
      </c>
      <c r="BX197" s="23">
        <f>BX$5+SUM(BZ$5:BZ196)+SUM(R$5:R196)-SUM(S$5:S196)+SUM(CB$5,CB196)</f>
        <v>203221.5196019336</v>
      </c>
      <c r="BY197" s="22">
        <f t="shared" ref="BY197:BY244" si="236">IF(AB197=1,-BQ197*BX197/12,0)</f>
        <v>-574.10079287546239</v>
      </c>
      <c r="BZ197" s="22">
        <f t="shared" ref="BZ197:BZ260" si="237">IF(AB197=1,-BX197/(P197-K197+1),0)</f>
        <v>-832.87508033579343</v>
      </c>
      <c r="CA197" s="22">
        <f t="shared" si="165"/>
        <v>-1406.9758732112559</v>
      </c>
      <c r="CB197" s="22">
        <f t="shared" si="166"/>
        <v>38.715908103753691</v>
      </c>
      <c r="CD197" s="22">
        <f>CD$5+SUM(CE$5:CE196)+SUM(R$5:R196)-SUM(S$5:S196)-SUM(CF$5:CF196)</f>
        <v>264625.36572417431</v>
      </c>
      <c r="CE197" s="22">
        <f t="shared" si="158"/>
        <v>574.10079287546239</v>
      </c>
      <c r="CF197" s="22">
        <f t="shared" ref="CF197:CF260" si="238">-F197</f>
        <v>1368.2599651075022</v>
      </c>
      <c r="CG197" s="22">
        <f t="shared" si="159"/>
        <v>794.15917223203985</v>
      </c>
      <c r="CI197" s="89">
        <f t="shared" ref="CI197:CI260" si="239">VLOOKUP(B197,Inflacja,2)</f>
        <v>0.43390000000000001</v>
      </c>
      <c r="CJ197" s="22">
        <f t="shared" ref="CJ197:CJ260" si="240">ROUND(CI197*(F197-S197),2)</f>
        <v>-593.69000000000005</v>
      </c>
      <c r="CK197" s="15">
        <f t="shared" si="160"/>
        <v>0</v>
      </c>
      <c r="CM197" s="22">
        <f t="shared" si="161"/>
        <v>-164251.28632885782</v>
      </c>
      <c r="CN197" s="15">
        <f t="shared" si="167"/>
        <v>-235.42684373802956</v>
      </c>
    </row>
    <row r="198" spans="1:92">
      <c r="A198" s="25"/>
      <c r="B198" s="80">
        <v>43132</v>
      </c>
      <c r="C198" s="81">
        <f t="shared" si="217"/>
        <v>3.6114999999999999</v>
      </c>
      <c r="D198" s="82">
        <f t="shared" si="162"/>
        <v>3.7198449999999998</v>
      </c>
      <c r="E198" s="73">
        <f t="shared" si="206"/>
        <v>-374.08344825943504</v>
      </c>
      <c r="F198" s="19">
        <f t="shared" si="207"/>
        <v>-1391.5324445906181</v>
      </c>
      <c r="G198" s="19">
        <f t="shared" si="208"/>
        <v>-1179.6465179686782</v>
      </c>
      <c r="H198" s="19">
        <f t="shared" si="209"/>
        <v>211.88592662193992</v>
      </c>
      <c r="I198" s="62"/>
      <c r="K198" s="15">
        <f>IF(B198&lt;=Dane_kredytowe!F$9,0,K197+1)</f>
        <v>118</v>
      </c>
      <c r="L198" s="83">
        <f t="shared" si="218"/>
        <v>-7.4000000000000003E-3</v>
      </c>
      <c r="M198" s="84">
        <f>L198+Dane_kredytowe!F$12</f>
        <v>2.2599999999999999E-2</v>
      </c>
      <c r="N198" s="79">
        <f>MAX(Dane_kredytowe!F$17+SUM(AA$5:AA197)-SUM(X$5:X198)+SUM(W$5:W198),0)</f>
        <v>72888.408502321545</v>
      </c>
      <c r="O198" s="85">
        <f>MAX(Dane_kredytowe!F$8+SUM(V$5:V197)-SUM(S$5:S198)+SUM(R$5:R197),0)</f>
        <v>229848.60113460949</v>
      </c>
      <c r="P198" s="67">
        <f t="shared" si="180"/>
        <v>360</v>
      </c>
      <c r="Q198" s="127" t="str">
        <f>IF(AND(K198&gt;0,K198&lt;=Dane_kredytowe!F$16),"tak","nie")</f>
        <v>nie</v>
      </c>
      <c r="R198" s="69"/>
      <c r="S198" s="86">
        <f>IF(Dane_kredytowe!F$19=B198,O197+V197,_xlfn.XLOOKUP(B198,Dane_kredytowe!M$9:M$18,Dane_kredytowe!N$9:N$18,0))</f>
        <v>0</v>
      </c>
      <c r="T198" s="71">
        <f t="shared" si="219"/>
        <v>-432.88153213684785</v>
      </c>
      <c r="U198" s="72">
        <f>IF(Q198="tak",T198,IF(P198-SUM(AB$5:AB198)+1&gt;0,IF(Dane_kredytowe!F$9&lt;B198,IF(SUM(AB$5:AB198)-Dane_kredytowe!F$16+1&gt;0,PMT(M198/12,P198+1-SUM(AB$5:AB198),O198),T198),0),0))</f>
        <v>-1179.6465179686782</v>
      </c>
      <c r="V198" s="72">
        <f t="shared" ref="V198:V261" si="241">U198-T198</f>
        <v>-746.76498583183024</v>
      </c>
      <c r="W198" s="19" t="str">
        <f t="shared" ref="W198:W261" si="242">IF(R198&gt;0,R198/(C198*(1-$J$1))," ")</f>
        <v xml:space="preserve"> </v>
      </c>
      <c r="X198" s="19">
        <f t="shared" si="169"/>
        <v>0</v>
      </c>
      <c r="Y198" s="73">
        <f t="shared" si="220"/>
        <v>-137.27316934603888</v>
      </c>
      <c r="Z198" s="19">
        <f>IF(P198-SUM(AB$5:AB198)+1&gt;0,IF(Dane_kredytowe!F$9&lt;B198,IF(SUM(AB$5:AB198)-Dane_kredytowe!F$16+1&gt;0,PMT(M198/12,P198+1-SUM(AB$5:AB198),N198),Y198),0),0)</f>
        <v>-374.08344825943504</v>
      </c>
      <c r="AA198" s="19">
        <f t="shared" si="210"/>
        <v>-236.81027891339616</v>
      </c>
      <c r="AB198" s="20">
        <f>IF(AND(Dane_kredytowe!F$9&lt;B198,SUM(AB$5:AB197)&lt;P197),1," ")</f>
        <v>1</v>
      </c>
      <c r="AD198" s="75">
        <f>IF(OR(B198&lt;Dane_kredytowe!F$15,Dane_kredytowe!F$15=""),-F198+S198,0)</f>
        <v>0</v>
      </c>
      <c r="AE198" s="75">
        <f t="shared" si="221"/>
        <v>374.08344825943504</v>
      </c>
      <c r="AG198" s="22">
        <f>Dane_kredytowe!F$17-SUM(AI$5:AI197)+SUM(W$42:W198)-SUM(X$42:X198)</f>
        <v>64216.040000000081</v>
      </c>
      <c r="AH198" s="22">
        <f t="shared" si="222"/>
        <v>120.94</v>
      </c>
      <c r="AI198" s="22">
        <f t="shared" si="223"/>
        <v>264.26</v>
      </c>
      <c r="AJ198" s="22">
        <f t="shared" si="211"/>
        <v>385.2</v>
      </c>
      <c r="AK198" s="22">
        <f t="shared" si="224"/>
        <v>1432.88</v>
      </c>
      <c r="AL198" s="22">
        <f>Dane_kredytowe!F$8-SUM(AN$5:AN197)+SUM(R$42:R197)-SUM(S$42:S198)</f>
        <v>202500.38999999984</v>
      </c>
      <c r="AM198" s="22">
        <f t="shared" si="225"/>
        <v>381.38</v>
      </c>
      <c r="AN198" s="22">
        <f t="shared" si="226"/>
        <v>833.33</v>
      </c>
      <c r="AO198" s="22">
        <f t="shared" si="212"/>
        <v>1214.71</v>
      </c>
      <c r="AP198" s="22">
        <f t="shared" si="213"/>
        <v>218.17000000000007</v>
      </c>
      <c r="AR198" s="87">
        <f t="shared" si="227"/>
        <v>43132</v>
      </c>
      <c r="AS198" s="23">
        <f>AS$5+SUM(AV$5:AV197)-SUM(X$5:X198)+SUM(W$5:W198)</f>
        <v>106539.631563275</v>
      </c>
      <c r="AT198" s="22">
        <f t="shared" si="228"/>
        <v>-200.64963944416789</v>
      </c>
      <c r="AU198" s="22">
        <f>IF(AB198=1,IF(Q198="tak",AT198,PMT(M198/12,P198+1-SUM(AB$5:AB198),AS198)),0)</f>
        <v>-546.79082134452506</v>
      </c>
      <c r="AV198" s="22">
        <f t="shared" si="177"/>
        <v>-346.1411819003572</v>
      </c>
      <c r="AW198" s="22">
        <f t="shared" si="229"/>
        <v>-1974.7350512857522</v>
      </c>
      <c r="AY198" s="23">
        <f>AY$5+SUM(BA$5:BA197)+SUM(W$5:W197)-SUM(X$5:X197)</f>
        <v>93862.681437841922</v>
      </c>
      <c r="AZ198" s="23">
        <f t="shared" si="230"/>
        <v>-200.64963944416789</v>
      </c>
      <c r="BA198" s="23">
        <f t="shared" si="231"/>
        <v>-386.27</v>
      </c>
      <c r="BB198" s="23">
        <f t="shared" si="214"/>
        <v>-586.91963944416784</v>
      </c>
      <c r="BC198" s="23">
        <f t="shared" si="232"/>
        <v>-2119.6602778526121</v>
      </c>
      <c r="BE198" s="88">
        <f t="shared" si="233"/>
        <v>1.72E-2</v>
      </c>
      <c r="BF198" s="89">
        <f>BE198+Dane_kredytowe!F$12</f>
        <v>4.7199999999999999E-2</v>
      </c>
      <c r="BG198" s="23">
        <f>BG$5+SUM(BH$5:BH197)+SUM(R$5:R197)-SUM(S$5:S197)</f>
        <v>253543.70589406125</v>
      </c>
      <c r="BH198" s="22">
        <f t="shared" si="215"/>
        <v>-624.90447641356764</v>
      </c>
      <c r="BI198" s="22">
        <f t="shared" si="216"/>
        <v>-997.27190984997424</v>
      </c>
      <c r="BJ198" s="22">
        <f>IF(U198&lt;0,PMT(BF198/12,Dane_kredytowe!F$13-SUM(AB$5:AB198)+1,BG198),0)</f>
        <v>-1622.1763862635419</v>
      </c>
      <c r="BL198" s="23">
        <f>BL$5+SUM(BN$5:BN197)+SUM(R$5:R197)-SUM(S$5:S197)</f>
        <v>202500.00000000012</v>
      </c>
      <c r="BM198" s="23">
        <f t="shared" si="194"/>
        <v>-796.50000000000045</v>
      </c>
      <c r="BN198" s="23">
        <f t="shared" si="234"/>
        <v>-833.33333333333383</v>
      </c>
      <c r="BO198" s="23">
        <f t="shared" si="179"/>
        <v>-1629.8333333333344</v>
      </c>
      <c r="BQ198" s="89">
        <f t="shared" si="235"/>
        <v>3.39E-2</v>
      </c>
      <c r="BR198" s="23">
        <f>BR$5+SUM(BS$5:BS197)+SUM(R$5:R197)-SUM(S$5:S197)+SUM(BV$5:BV197)</f>
        <v>288754.98113357811</v>
      </c>
      <c r="BS198" s="22">
        <f t="shared" si="163"/>
        <v>-828.34166211540685</v>
      </c>
      <c r="BT198" s="22">
        <f t="shared" si="164"/>
        <v>-815.73282170235814</v>
      </c>
      <c r="BU198" s="22">
        <f>IF(U198&lt;0,PMT(BQ198/12,Dane_kredytowe!F$13-SUM(AB$5:AB198)+1,BR198),0)</f>
        <v>-1644.074483817765</v>
      </c>
      <c r="BV198" s="22">
        <f t="shared" ref="BV198:BV261" si="243">F198-BU198</f>
        <v>252.54203922714692</v>
      </c>
      <c r="BX198" s="23">
        <f>BX$5+SUM(BZ$5:BZ197)+SUM(R$5:R197)-SUM(S$5:S197)+SUM(CB$5,CB197)</f>
        <v>202402.82134197632</v>
      </c>
      <c r="BY198" s="22">
        <f t="shared" si="236"/>
        <v>-571.78797029108307</v>
      </c>
      <c r="BZ198" s="22">
        <f t="shared" si="237"/>
        <v>-832.93342116039639</v>
      </c>
      <c r="CA198" s="22">
        <f t="shared" si="165"/>
        <v>-1404.7213914514796</v>
      </c>
      <c r="CB198" s="22">
        <f t="shared" si="166"/>
        <v>13.188946860861506</v>
      </c>
      <c r="CD198" s="22">
        <f>CD$5+SUM(CE$5:CE197)+SUM(R$5:R197)-SUM(S$5:S197)-SUM(CF$5:CF197)</f>
        <v>263831.20655194222</v>
      </c>
      <c r="CE198" s="22">
        <f t="shared" ref="CE198:CE247" si="244">IF(AB198=1,BQ198*BX198/12,0)</f>
        <v>571.78797029108307</v>
      </c>
      <c r="CF198" s="22">
        <f t="shared" si="238"/>
        <v>1391.5324445906181</v>
      </c>
      <c r="CG198" s="22">
        <f t="shared" ref="CG198:CG247" si="245">CF198-CE198</f>
        <v>819.744474299535</v>
      </c>
      <c r="CI198" s="89">
        <f t="shared" si="239"/>
        <v>0.43669999999999998</v>
      </c>
      <c r="CJ198" s="22">
        <f t="shared" si="240"/>
        <v>-607.67999999999995</v>
      </c>
      <c r="CK198" s="15">
        <f t="shared" ref="CK198:CK261" si="246">ROUND(R198*CI198,2)</f>
        <v>0</v>
      </c>
      <c r="CM198" s="22">
        <f t="shared" ref="CM198:CM261" si="247">F198+S198+CM197</f>
        <v>-165642.81877344844</v>
      </c>
      <c r="CN198" s="15">
        <f t="shared" si="167"/>
        <v>-237.42137357527611</v>
      </c>
    </row>
    <row r="199" spans="1:92">
      <c r="A199" s="25"/>
      <c r="B199" s="80">
        <v>43160</v>
      </c>
      <c r="C199" s="81">
        <f t="shared" si="217"/>
        <v>3.6061999999999999</v>
      </c>
      <c r="D199" s="82">
        <f t="shared" ref="D199:D262" si="248">C199*(1+$J$1)</f>
        <v>3.7143859999999997</v>
      </c>
      <c r="E199" s="73">
        <f t="shared" si="206"/>
        <v>-374.08344825943499</v>
      </c>
      <c r="F199" s="19">
        <f t="shared" si="207"/>
        <v>-1389.4903230465695</v>
      </c>
      <c r="G199" s="19">
        <f t="shared" si="208"/>
        <v>-1179.6465179686782</v>
      </c>
      <c r="H199" s="19">
        <f t="shared" si="209"/>
        <v>209.84380507789137</v>
      </c>
      <c r="I199" s="62"/>
      <c r="K199" s="15">
        <f>IF(B199&lt;=Dane_kredytowe!F$9,0,K198+1)</f>
        <v>119</v>
      </c>
      <c r="L199" s="83">
        <f t="shared" si="218"/>
        <v>-7.4000000000000003E-3</v>
      </c>
      <c r="M199" s="84">
        <f>L199+Dane_kredytowe!F$12</f>
        <v>2.2599999999999999E-2</v>
      </c>
      <c r="N199" s="79">
        <f>MAX(Dane_kredytowe!F$17+SUM(AA$5:AA198)-SUM(X$5:X199)+SUM(W$5:W199),0)</f>
        <v>72651.598223408146</v>
      </c>
      <c r="O199" s="85">
        <f>MAX(Dane_kredytowe!F$8+SUM(V$5:V198)-SUM(S$5:S199)+SUM(R$5:R198),0)</f>
        <v>229101.83614877766</v>
      </c>
      <c r="P199" s="67">
        <f t="shared" si="180"/>
        <v>360</v>
      </c>
      <c r="Q199" s="127" t="str">
        <f>IF(AND(K199&gt;0,K199&lt;=Dane_kredytowe!F$16),"tak","nie")</f>
        <v>nie</v>
      </c>
      <c r="R199" s="69"/>
      <c r="S199" s="86">
        <f>IF(Dane_kredytowe!F$19=B199,O198+V198,_xlfn.XLOOKUP(B199,Dane_kredytowe!M$9:M$18,Dane_kredytowe!N$9:N$18,0))</f>
        <v>0</v>
      </c>
      <c r="T199" s="71">
        <f t="shared" si="219"/>
        <v>-431.47512474686459</v>
      </c>
      <c r="U199" s="72">
        <f>IF(Q199="tak",T199,IF(P199-SUM(AB$5:AB199)+1&gt;0,IF(Dane_kredytowe!F$9&lt;B199,IF(SUM(AB$5:AB199)-Dane_kredytowe!F$16+1&gt;0,PMT(M199/12,P199+1-SUM(AB$5:AB199),O199),T199),0),0))</f>
        <v>-1179.6465179686782</v>
      </c>
      <c r="V199" s="72">
        <f t="shared" si="241"/>
        <v>-748.17139322181356</v>
      </c>
      <c r="W199" s="19" t="str">
        <f t="shared" si="242"/>
        <v xml:space="preserve"> </v>
      </c>
      <c r="X199" s="19">
        <f t="shared" si="169"/>
        <v>0</v>
      </c>
      <c r="Y199" s="73">
        <f t="shared" si="220"/>
        <v>-136.82717665408532</v>
      </c>
      <c r="Z199" s="19">
        <f>IF(P199-SUM(AB$5:AB199)+1&gt;0,IF(Dane_kredytowe!F$9&lt;B199,IF(SUM(AB$5:AB199)-Dane_kredytowe!F$16+1&gt;0,PMT(M199/12,P199+1-SUM(AB$5:AB199),N199),Y199),0),0)</f>
        <v>-374.08344825943499</v>
      </c>
      <c r="AA199" s="19">
        <f t="shared" si="210"/>
        <v>-237.25627160534967</v>
      </c>
      <c r="AB199" s="20">
        <f>IF(AND(Dane_kredytowe!F$9&lt;B199,SUM(AB$5:AB198)&lt;P198),1," ")</f>
        <v>1</v>
      </c>
      <c r="AD199" s="75">
        <f>IF(OR(B199&lt;Dane_kredytowe!F$15,Dane_kredytowe!F$15=""),-F199+S199,0)</f>
        <v>0</v>
      </c>
      <c r="AE199" s="75">
        <f t="shared" si="221"/>
        <v>374.08344825943499</v>
      </c>
      <c r="AG199" s="22">
        <f>Dane_kredytowe!F$17-SUM(AI$5:AI198)+SUM(W$42:W199)-SUM(X$42:X199)</f>
        <v>63951.780000000086</v>
      </c>
      <c r="AH199" s="22">
        <f t="shared" si="222"/>
        <v>120.44</v>
      </c>
      <c r="AI199" s="22">
        <f t="shared" si="223"/>
        <v>264.26</v>
      </c>
      <c r="AJ199" s="22">
        <f t="shared" si="211"/>
        <v>384.7</v>
      </c>
      <c r="AK199" s="22">
        <f t="shared" si="224"/>
        <v>1428.92</v>
      </c>
      <c r="AL199" s="22">
        <f>Dane_kredytowe!F$8-SUM(AN$5:AN198)+SUM(R$42:R198)-SUM(S$42:S199)</f>
        <v>201667.05999999982</v>
      </c>
      <c r="AM199" s="22">
        <f t="shared" si="225"/>
        <v>379.81</v>
      </c>
      <c r="AN199" s="22">
        <f t="shared" si="226"/>
        <v>833.33</v>
      </c>
      <c r="AO199" s="22">
        <f t="shared" si="212"/>
        <v>1213.1400000000001</v>
      </c>
      <c r="AP199" s="22">
        <f t="shared" si="213"/>
        <v>215.77999999999997</v>
      </c>
      <c r="AR199" s="87">
        <f t="shared" si="227"/>
        <v>43160</v>
      </c>
      <c r="AS199" s="23">
        <f>AS$5+SUM(AV$5:AV198)-SUM(X$5:X199)+SUM(W$5:W199)</f>
        <v>106193.49038137466</v>
      </c>
      <c r="AT199" s="22">
        <f t="shared" si="228"/>
        <v>-199.99774021825559</v>
      </c>
      <c r="AU199" s="22">
        <f>IF(AB199=1,IF(Q199="tak",AT199,PMT(M199/12,P199+1-SUM(AB$5:AB199),AS199)),0)</f>
        <v>-546.79082134452506</v>
      </c>
      <c r="AV199" s="22">
        <f t="shared" si="177"/>
        <v>-346.7930811262695</v>
      </c>
      <c r="AW199" s="22">
        <f t="shared" si="229"/>
        <v>-1971.8370599326263</v>
      </c>
      <c r="AY199" s="23">
        <f>AY$5+SUM(BA$5:BA198)+SUM(W$5:W198)-SUM(X$5:X198)</f>
        <v>93476.411437841918</v>
      </c>
      <c r="AZ199" s="23">
        <f t="shared" si="230"/>
        <v>-199.99774021825559</v>
      </c>
      <c r="BA199" s="23">
        <f t="shared" si="231"/>
        <v>-386.27</v>
      </c>
      <c r="BB199" s="23">
        <f t="shared" si="214"/>
        <v>-586.26774021825554</v>
      </c>
      <c r="BC199" s="23">
        <f t="shared" si="232"/>
        <v>-2114.1987247750731</v>
      </c>
      <c r="BE199" s="88">
        <f t="shared" si="233"/>
        <v>1.7100000000000001E-2</v>
      </c>
      <c r="BF199" s="89">
        <f>BE199+Dane_kredytowe!F$12</f>
        <v>4.7100000000000003E-2</v>
      </c>
      <c r="BG199" s="23">
        <f>BG$5+SUM(BH$5:BH198)+SUM(R$5:R198)-SUM(S$5:S198)</f>
        <v>252918.80141764769</v>
      </c>
      <c r="BH199" s="22">
        <f t="shared" si="215"/>
        <v>-628.08856113423553</v>
      </c>
      <c r="BI199" s="22">
        <f t="shared" si="216"/>
        <v>-992.70629556426729</v>
      </c>
      <c r="BJ199" s="22">
        <f>IF(U199&lt;0,PMT(BF199/12,Dane_kredytowe!F$13-SUM(AB$5:AB199)+1,BG199),0)</f>
        <v>-1620.7948566985028</v>
      </c>
      <c r="BL199" s="23">
        <f>BL$5+SUM(BN$5:BN198)+SUM(R$5:R198)-SUM(S$5:S198)</f>
        <v>201666.6666666668</v>
      </c>
      <c r="BM199" s="23">
        <f t="shared" si="194"/>
        <v>-791.54166666666731</v>
      </c>
      <c r="BN199" s="23">
        <f t="shared" si="234"/>
        <v>-833.33333333333394</v>
      </c>
      <c r="BO199" s="23">
        <f t="shared" si="179"/>
        <v>-1624.8750000000014</v>
      </c>
      <c r="BQ199" s="89">
        <f t="shared" si="235"/>
        <v>3.3799999999999997E-2</v>
      </c>
      <c r="BR199" s="23">
        <f>BR$5+SUM(BS$5:BS198)+SUM(R$5:R198)-SUM(S$5:S198)+SUM(BV$5:BV198)</f>
        <v>288179.18151068984</v>
      </c>
      <c r="BS199" s="22">
        <f t="shared" ref="BS199:BS240" si="249">IF(BU199&lt;0,BU199-BT199,0)</f>
        <v>-832.33761513297338</v>
      </c>
      <c r="BT199" s="22">
        <f t="shared" ref="BT199:BT240" si="250">IF(BU199&lt;0,-BR199*BQ199/12,0)</f>
        <v>-811.70469458844298</v>
      </c>
      <c r="BU199" s="22">
        <f>IF(U199&lt;0,PMT(BQ199/12,Dane_kredytowe!F$13-SUM(AB$5:AB199)+1,BR199),0)</f>
        <v>-1644.0423097214164</v>
      </c>
      <c r="BV199" s="22">
        <f t="shared" si="243"/>
        <v>254.55198667484683</v>
      </c>
      <c r="BX199" s="23">
        <f>BX$5+SUM(BZ$5:BZ198)+SUM(R$5:R198)-SUM(S$5:S198)+SUM(CB$5,CB198)</f>
        <v>201544.36095957301</v>
      </c>
      <c r="BY199" s="22">
        <f t="shared" si="236"/>
        <v>-567.68328336946399</v>
      </c>
      <c r="BZ199" s="22">
        <f t="shared" si="237"/>
        <v>-832.82793784947523</v>
      </c>
      <c r="CA199" s="22">
        <f t="shared" ref="CA199:CA240" si="251">BZ199+BY199</f>
        <v>-1400.5112212189392</v>
      </c>
      <c r="CB199" s="22">
        <f t="shared" ref="CB199:CB241" si="252">$F199-CA199</f>
        <v>11.020898172369698</v>
      </c>
      <c r="CD199" s="22">
        <f>CD$5+SUM(CE$5:CE198)+SUM(R$5:R198)-SUM(S$5:S198)-SUM(CF$5:CF198)</f>
        <v>263011.46207764267</v>
      </c>
      <c r="CE199" s="22">
        <f t="shared" si="244"/>
        <v>567.68328336946399</v>
      </c>
      <c r="CF199" s="22">
        <f t="shared" si="238"/>
        <v>1389.4903230465695</v>
      </c>
      <c r="CG199" s="22">
        <f t="shared" si="245"/>
        <v>821.80703967710554</v>
      </c>
      <c r="CI199" s="89">
        <f t="shared" si="239"/>
        <v>0.43819999999999998</v>
      </c>
      <c r="CJ199" s="22">
        <f t="shared" si="240"/>
        <v>-608.87</v>
      </c>
      <c r="CK199" s="15">
        <f t="shared" si="246"/>
        <v>0</v>
      </c>
      <c r="CM199" s="22">
        <f t="shared" si="247"/>
        <v>-167032.30909649501</v>
      </c>
      <c r="CN199" s="15">
        <f t="shared" ref="CN199:CN261" si="253">CM199*BE199/12</f>
        <v>-238.0210404625054</v>
      </c>
    </row>
    <row r="200" spans="1:92">
      <c r="A200" s="25"/>
      <c r="B200" s="80">
        <v>43191</v>
      </c>
      <c r="C200" s="81">
        <f t="shared" si="217"/>
        <v>3.5305</v>
      </c>
      <c r="D200" s="82">
        <f t="shared" si="248"/>
        <v>3.636415</v>
      </c>
      <c r="E200" s="73">
        <f t="shared" ref="E200:E206" si="254">Z200</f>
        <v>-374.08344825943499</v>
      </c>
      <c r="F200" s="19">
        <f t="shared" ref="F200:F206" si="255">E200*D200</f>
        <v>-1360.3226625023333</v>
      </c>
      <c r="G200" s="19">
        <f t="shared" ref="G200:G206" si="256">U200</f>
        <v>-1179.6465179686782</v>
      </c>
      <c r="H200" s="19">
        <f t="shared" ref="H200:H206" si="257">G200-F200</f>
        <v>180.67614453365513</v>
      </c>
      <c r="I200" s="62"/>
      <c r="K200" s="15">
        <f>IF(B200&lt;=Dane_kredytowe!F$9,0,K199+1)</f>
        <v>120</v>
      </c>
      <c r="L200" s="83">
        <f t="shared" si="218"/>
        <v>-7.4000000000000003E-3</v>
      </c>
      <c r="M200" s="84">
        <f>L200+Dane_kredytowe!F$12</f>
        <v>2.2599999999999999E-2</v>
      </c>
      <c r="N200" s="79">
        <f>MAX(Dane_kredytowe!F$17+SUM(AA$5:AA199)-SUM(X$5:X200)+SUM(W$5:W200),0)</f>
        <v>72414.341951802795</v>
      </c>
      <c r="O200" s="85">
        <f>MAX(Dane_kredytowe!F$8+SUM(V$5:V199)-SUM(S$5:S200)+SUM(R$5:R199),0)</f>
        <v>228353.66475555586</v>
      </c>
      <c r="P200" s="67">
        <f t="shared" si="180"/>
        <v>360</v>
      </c>
      <c r="Q200" s="127" t="str">
        <f>IF(AND(K200&gt;0,K200&lt;=Dane_kredytowe!F$16),"tak","nie")</f>
        <v>nie</v>
      </c>
      <c r="R200" s="69"/>
      <c r="S200" s="86">
        <f>IF(Dane_kredytowe!F$19=B200,O199+V199,_xlfn.XLOOKUP(B200,Dane_kredytowe!M$9:M$18,Dane_kredytowe!N$9:N$18,0))</f>
        <v>0</v>
      </c>
      <c r="T200" s="71">
        <f t="shared" si="219"/>
        <v>-430.06606862296348</v>
      </c>
      <c r="U200" s="72">
        <f>IF(Q200="tak",T200,IF(P200-SUM(AB$5:AB200)+1&gt;0,IF(Dane_kredytowe!F$9&lt;B200,IF(SUM(AB$5:AB200)-Dane_kredytowe!F$16+1&gt;0,PMT(M200/12,P200+1-SUM(AB$5:AB200),O200),T200),0),0))</f>
        <v>-1179.6465179686782</v>
      </c>
      <c r="V200" s="72">
        <f t="shared" si="241"/>
        <v>-749.58044934571467</v>
      </c>
      <c r="W200" s="19" t="str">
        <f t="shared" si="242"/>
        <v xml:space="preserve"> </v>
      </c>
      <c r="X200" s="19">
        <f t="shared" si="169"/>
        <v>0</v>
      </c>
      <c r="Y200" s="73">
        <f t="shared" si="220"/>
        <v>-136.38034400922859</v>
      </c>
      <c r="Z200" s="19">
        <f>IF(P200-SUM(AB$5:AB200)+1&gt;0,IF(Dane_kredytowe!F$9&lt;B200,IF(SUM(AB$5:AB200)-Dane_kredytowe!F$16+1&gt;0,PMT(M200/12,P200+1-SUM(AB$5:AB200),N200),Y200),0),0)</f>
        <v>-374.08344825943499</v>
      </c>
      <c r="AA200" s="19">
        <f t="shared" ref="AA200:AA206" si="258">Z200-Y200</f>
        <v>-237.70310425020639</v>
      </c>
      <c r="AB200" s="20">
        <f>IF(AND(Dane_kredytowe!F$9&lt;B200,SUM(AB$5:AB199)&lt;P199),1," ")</f>
        <v>1</v>
      </c>
      <c r="AD200" s="75">
        <f>IF(OR(B200&lt;Dane_kredytowe!F$15,Dane_kredytowe!F$15=""),-F200+S200,0)</f>
        <v>0</v>
      </c>
      <c r="AE200" s="75">
        <f t="shared" si="221"/>
        <v>374.08344825943499</v>
      </c>
      <c r="AG200" s="22">
        <f>Dane_kredytowe!F$17-SUM(AI$5:AI199)+SUM(W$42:W200)-SUM(X$42:X200)</f>
        <v>63687.520000000091</v>
      </c>
      <c r="AH200" s="22">
        <f t="shared" si="222"/>
        <v>119.94</v>
      </c>
      <c r="AI200" s="22">
        <f t="shared" si="223"/>
        <v>264.26</v>
      </c>
      <c r="AJ200" s="22">
        <f t="shared" ref="AJ200:AJ206" si="259">AI200+AH200</f>
        <v>384.2</v>
      </c>
      <c r="AK200" s="22">
        <f t="shared" si="224"/>
        <v>1397.11</v>
      </c>
      <c r="AL200" s="22">
        <f>Dane_kredytowe!F$8-SUM(AN$5:AN199)+SUM(R$42:R199)-SUM(S$42:S200)</f>
        <v>200833.72999999984</v>
      </c>
      <c r="AM200" s="22">
        <f t="shared" si="225"/>
        <v>378.24</v>
      </c>
      <c r="AN200" s="22">
        <f t="shared" si="226"/>
        <v>833.33</v>
      </c>
      <c r="AO200" s="22">
        <f t="shared" ref="AO200:AO206" si="260">AN200+AM200</f>
        <v>1211.5700000000002</v>
      </c>
      <c r="AP200" s="22">
        <f t="shared" ref="AP200:AP206" si="261">AK200-AO200</f>
        <v>185.53999999999974</v>
      </c>
      <c r="AR200" s="87">
        <f t="shared" si="227"/>
        <v>43191</v>
      </c>
      <c r="AS200" s="23">
        <f>AS$5+SUM(AV$5:AV199)-SUM(X$5:X200)+SUM(W$5:W200)</f>
        <v>105846.69730024839</v>
      </c>
      <c r="AT200" s="22">
        <f t="shared" si="228"/>
        <v>-199.34461324880112</v>
      </c>
      <c r="AU200" s="22">
        <f>IF(AB200=1,IF(Q200="tak",AT200,PMT(M200/12,P200+1-SUM(AB$5:AB200),AS200)),0)</f>
        <v>-546.79082134452506</v>
      </c>
      <c r="AV200" s="22">
        <f t="shared" si="177"/>
        <v>-347.44620809572393</v>
      </c>
      <c r="AW200" s="22">
        <f t="shared" si="229"/>
        <v>-1930.4449947568457</v>
      </c>
      <c r="AY200" s="23">
        <f>AY$5+SUM(BA$5:BA199)+SUM(W$5:W199)-SUM(X$5:X199)</f>
        <v>93090.141437841929</v>
      </c>
      <c r="AZ200" s="23">
        <f t="shared" si="230"/>
        <v>-199.34461324880112</v>
      </c>
      <c r="BA200" s="23">
        <f t="shared" si="231"/>
        <v>-386.27</v>
      </c>
      <c r="BB200" s="23">
        <f t="shared" ref="BB200:BB206" si="262">BA200+AZ200</f>
        <v>-585.61461324880111</v>
      </c>
      <c r="BC200" s="23">
        <f t="shared" si="232"/>
        <v>-2067.5123920748924</v>
      </c>
      <c r="BE200" s="88">
        <f t="shared" si="233"/>
        <v>1.7000000000000001E-2</v>
      </c>
      <c r="BF200" s="89">
        <f>BE200+Dane_kredytowe!F$12</f>
        <v>4.7E-2</v>
      </c>
      <c r="BG200" s="23">
        <f>BG$5+SUM(BH$5:BH199)+SUM(R$5:R199)-SUM(S$5:S199)</f>
        <v>252290.71285651345</v>
      </c>
      <c r="BH200" s="22">
        <f t="shared" ref="BH200:BH206" si="263">IF(BJ200&lt;0,BJ200-BI200,0)</f>
        <v>-631.28001102548194</v>
      </c>
      <c r="BI200" s="22">
        <f t="shared" ref="BI200:BI206" si="264">IF(BJ200&lt;0,-BG200*BF200/12,0)</f>
        <v>-988.13862535467763</v>
      </c>
      <c r="BJ200" s="22">
        <f>IF(U200&lt;0,PMT(BF200/12,Dane_kredytowe!F$13-SUM(AB$5:AB200)+1,BG200),0)</f>
        <v>-1619.4186363801596</v>
      </c>
      <c r="BL200" s="23">
        <f>BL$5+SUM(BN$5:BN199)+SUM(R$5:R199)-SUM(S$5:S199)</f>
        <v>200833.33333333346</v>
      </c>
      <c r="BM200" s="23">
        <f t="shared" si="194"/>
        <v>-786.59722222222274</v>
      </c>
      <c r="BN200" s="23">
        <f t="shared" si="234"/>
        <v>-833.33333333333383</v>
      </c>
      <c r="BO200" s="23">
        <f t="shared" si="179"/>
        <v>-1619.9305555555566</v>
      </c>
      <c r="BQ200" s="89">
        <f t="shared" si="235"/>
        <v>3.3700000000000001E-2</v>
      </c>
      <c r="BR200" s="23">
        <f>BR$5+SUM(BS$5:BS199)+SUM(R$5:R199)-SUM(S$5:S199)+SUM(BV$5:BV199)</f>
        <v>287601.39588223171</v>
      </c>
      <c r="BS200" s="22">
        <f t="shared" si="249"/>
        <v>-836.34870212460191</v>
      </c>
      <c r="BT200" s="22">
        <f t="shared" si="250"/>
        <v>-807.68058676926739</v>
      </c>
      <c r="BU200" s="22">
        <f>IF(U200&lt;0,PMT(BQ200/12,Dane_kredytowe!F$13-SUM(AB$5:AB200)+1,BR200),0)</f>
        <v>-1644.0292888938693</v>
      </c>
      <c r="BV200" s="22">
        <f t="shared" si="243"/>
        <v>283.70662639153602</v>
      </c>
      <c r="BX200" s="23">
        <f>BX$5+SUM(BZ$5:BZ199)+SUM(R$5:R199)-SUM(S$5:S199)+SUM(CB$5,CB199)</f>
        <v>200709.36497303503</v>
      </c>
      <c r="BY200" s="22">
        <f t="shared" si="236"/>
        <v>-563.65879996594003</v>
      </c>
      <c r="BZ200" s="22">
        <f t="shared" si="237"/>
        <v>-832.81894179682581</v>
      </c>
      <c r="CA200" s="22">
        <f t="shared" si="251"/>
        <v>-1396.4777417627658</v>
      </c>
      <c r="CB200" s="22">
        <f t="shared" si="252"/>
        <v>36.155079260432558</v>
      </c>
      <c r="CD200" s="22">
        <f>CD$5+SUM(CE$5:CE199)+SUM(R$5:R199)-SUM(S$5:S199)-SUM(CF$5:CF199)</f>
        <v>262189.65503796551</v>
      </c>
      <c r="CE200" s="22">
        <f t="shared" si="244"/>
        <v>563.65879996594003</v>
      </c>
      <c r="CF200" s="22">
        <f t="shared" si="238"/>
        <v>1360.3226625023333</v>
      </c>
      <c r="CG200" s="22">
        <f t="shared" si="245"/>
        <v>796.66386253639325</v>
      </c>
      <c r="CI200" s="89">
        <f t="shared" si="239"/>
        <v>0.43099999999999999</v>
      </c>
      <c r="CJ200" s="22">
        <f t="shared" si="240"/>
        <v>-586.29999999999995</v>
      </c>
      <c r="CK200" s="15">
        <f t="shared" si="246"/>
        <v>0</v>
      </c>
      <c r="CM200" s="22">
        <f t="shared" si="247"/>
        <v>-168392.63175899733</v>
      </c>
      <c r="CN200" s="15">
        <f t="shared" si="253"/>
        <v>-238.55622832524625</v>
      </c>
    </row>
    <row r="201" spans="1:92">
      <c r="A201" s="25"/>
      <c r="B201" s="80">
        <v>43221</v>
      </c>
      <c r="C201" s="81">
        <f t="shared" si="217"/>
        <v>3.6282999999999999</v>
      </c>
      <c r="D201" s="82">
        <f t="shared" si="248"/>
        <v>3.7371490000000001</v>
      </c>
      <c r="E201" s="73">
        <f t="shared" si="254"/>
        <v>-374.08344825943499</v>
      </c>
      <c r="F201" s="19">
        <f t="shared" si="255"/>
        <v>-1398.0055845792992</v>
      </c>
      <c r="G201" s="19">
        <f t="shared" si="256"/>
        <v>-1179.6465179686782</v>
      </c>
      <c r="H201" s="19">
        <f t="shared" si="257"/>
        <v>218.35906661062108</v>
      </c>
      <c r="I201" s="62"/>
      <c r="K201" s="15">
        <f>IF(B201&lt;=Dane_kredytowe!F$9,0,K200+1)</f>
        <v>121</v>
      </c>
      <c r="L201" s="83">
        <f t="shared" si="218"/>
        <v>-7.4000000000000003E-3</v>
      </c>
      <c r="M201" s="84">
        <f>L201+Dane_kredytowe!F$12</f>
        <v>2.2599999999999999E-2</v>
      </c>
      <c r="N201" s="79">
        <f>MAX(Dane_kredytowe!F$17+SUM(AA$5:AA200)-SUM(X$5:X201)+SUM(W$5:W201),0)</f>
        <v>72176.638847552589</v>
      </c>
      <c r="O201" s="85">
        <f>MAX(Dane_kredytowe!F$8+SUM(V$5:V200)-SUM(S$5:S201)+SUM(R$5:R200),0)</f>
        <v>227604.08430621013</v>
      </c>
      <c r="P201" s="67">
        <f t="shared" si="180"/>
        <v>360</v>
      </c>
      <c r="Q201" s="127" t="str">
        <f>IF(AND(K201&gt;0,K201&lt;=Dane_kredytowe!F$16),"tak","nie")</f>
        <v>nie</v>
      </c>
      <c r="R201" s="69"/>
      <c r="S201" s="86">
        <f>IF(Dane_kredytowe!F$19=B201,O200+V200,_xlfn.XLOOKUP(B201,Dane_kredytowe!M$9:M$18,Dane_kredytowe!N$9:N$18,0))</f>
        <v>0</v>
      </c>
      <c r="T201" s="71">
        <f t="shared" si="219"/>
        <v>-428.65435877669574</v>
      </c>
      <c r="U201" s="72">
        <f>IF(Q201="tak",T201,IF(P201-SUM(AB$5:AB201)+1&gt;0,IF(Dane_kredytowe!F$9&lt;B201,IF(SUM(AB$5:AB201)-Dane_kredytowe!F$16+1&gt;0,PMT(M201/12,P201+1-SUM(AB$5:AB201),O201),T201),0),0))</f>
        <v>-1179.6465179686782</v>
      </c>
      <c r="V201" s="72">
        <f t="shared" si="241"/>
        <v>-750.99215919198241</v>
      </c>
      <c r="W201" s="19" t="str">
        <f t="shared" si="242"/>
        <v xml:space="preserve"> </v>
      </c>
      <c r="X201" s="19">
        <f t="shared" si="169"/>
        <v>0</v>
      </c>
      <c r="Y201" s="73">
        <f t="shared" si="220"/>
        <v>-135.93266982955737</v>
      </c>
      <c r="Z201" s="19">
        <f>IF(P201-SUM(AB$5:AB201)+1&gt;0,IF(Dane_kredytowe!F$9&lt;B201,IF(SUM(AB$5:AB201)-Dane_kredytowe!F$16+1&gt;0,PMT(M201/12,P201+1-SUM(AB$5:AB201),N201),Y201),0),0)</f>
        <v>-374.08344825943499</v>
      </c>
      <c r="AA201" s="19">
        <f t="shared" si="258"/>
        <v>-238.15077842987762</v>
      </c>
      <c r="AB201" s="20">
        <f>IF(AND(Dane_kredytowe!F$9&lt;B201,SUM(AB$5:AB200)&lt;P200),1," ")</f>
        <v>1</v>
      </c>
      <c r="AD201" s="75">
        <f>IF(OR(B201&lt;Dane_kredytowe!F$15,Dane_kredytowe!F$15=""),-F201+S201,0)</f>
        <v>0</v>
      </c>
      <c r="AE201" s="75">
        <f t="shared" si="221"/>
        <v>374.08344825943499</v>
      </c>
      <c r="AG201" s="22">
        <f>Dane_kredytowe!F$17-SUM(AI$5:AI200)+SUM(W$42:W201)-SUM(X$42:X201)</f>
        <v>63423.260000000089</v>
      </c>
      <c r="AH201" s="22">
        <f t="shared" si="222"/>
        <v>119.45</v>
      </c>
      <c r="AI201" s="22">
        <f t="shared" si="223"/>
        <v>264.26</v>
      </c>
      <c r="AJ201" s="22">
        <f t="shared" si="259"/>
        <v>383.71</v>
      </c>
      <c r="AK201" s="22">
        <f t="shared" si="224"/>
        <v>1433.98</v>
      </c>
      <c r="AL201" s="22">
        <f>Dane_kredytowe!F$8-SUM(AN$5:AN200)+SUM(R$42:R200)-SUM(S$42:S201)</f>
        <v>200000.39999999985</v>
      </c>
      <c r="AM201" s="22">
        <f t="shared" si="225"/>
        <v>376.67</v>
      </c>
      <c r="AN201" s="22">
        <f t="shared" si="226"/>
        <v>833.33</v>
      </c>
      <c r="AO201" s="22">
        <f t="shared" si="260"/>
        <v>1210</v>
      </c>
      <c r="AP201" s="22">
        <f t="shared" si="261"/>
        <v>223.98000000000002</v>
      </c>
      <c r="AR201" s="87">
        <f t="shared" si="227"/>
        <v>43221</v>
      </c>
      <c r="AS201" s="23">
        <f>AS$5+SUM(AV$5:AV200)-SUM(X$5:X201)+SUM(W$5:W201)</f>
        <v>105499.25109215267</v>
      </c>
      <c r="AT201" s="22">
        <f t="shared" si="228"/>
        <v>-198.6902562235542</v>
      </c>
      <c r="AU201" s="22">
        <f>IF(AB201=1,IF(Q201="tak",AT201,PMT(M201/12,P201+1-SUM(AB$5:AB201),AS201)),0)</f>
        <v>-546.79082134452517</v>
      </c>
      <c r="AV201" s="22">
        <f t="shared" si="177"/>
        <v>-348.10056512097094</v>
      </c>
      <c r="AW201" s="22">
        <f t="shared" si="229"/>
        <v>-1983.9211370843407</v>
      </c>
      <c r="AY201" s="23">
        <f>AY$5+SUM(BA$5:BA200)+SUM(W$5:W200)-SUM(X$5:X200)</f>
        <v>92703.871437841939</v>
      </c>
      <c r="AZ201" s="23">
        <f t="shared" si="230"/>
        <v>-198.6902562235542</v>
      </c>
      <c r="BA201" s="23">
        <f t="shared" si="231"/>
        <v>-386.27</v>
      </c>
      <c r="BB201" s="23">
        <f t="shared" si="262"/>
        <v>-584.96025622355421</v>
      </c>
      <c r="BC201" s="23">
        <f t="shared" si="232"/>
        <v>-2122.4112976559218</v>
      </c>
      <c r="BE201" s="88">
        <f t="shared" si="233"/>
        <v>1.7000000000000001E-2</v>
      </c>
      <c r="BF201" s="89">
        <f>BE201+Dane_kredytowe!F$12</f>
        <v>4.7E-2</v>
      </c>
      <c r="BG201" s="23">
        <f>BG$5+SUM(BH$5:BH200)+SUM(R$5:R200)-SUM(S$5:S200)</f>
        <v>251659.43284548796</v>
      </c>
      <c r="BH201" s="22">
        <f t="shared" si="263"/>
        <v>-633.75252440199847</v>
      </c>
      <c r="BI201" s="22">
        <f t="shared" si="264"/>
        <v>-985.6661119781611</v>
      </c>
      <c r="BJ201" s="22">
        <f>IF(U201&lt;0,PMT(BF201/12,Dane_kredytowe!F$13-SUM(AB$5:AB201)+1,BG201),0)</f>
        <v>-1619.4186363801596</v>
      </c>
      <c r="BL201" s="23">
        <f>BL$5+SUM(BN$5:BN200)+SUM(R$5:R200)-SUM(S$5:S200)</f>
        <v>200000.00000000012</v>
      </c>
      <c r="BM201" s="23">
        <f t="shared" si="194"/>
        <v>-783.33333333333383</v>
      </c>
      <c r="BN201" s="23">
        <f t="shared" si="234"/>
        <v>-833.33333333333383</v>
      </c>
      <c r="BO201" s="23">
        <f t="shared" si="179"/>
        <v>-1616.6666666666677</v>
      </c>
      <c r="BQ201" s="89">
        <f t="shared" si="235"/>
        <v>3.3700000000000001E-2</v>
      </c>
      <c r="BR201" s="23">
        <f>BR$5+SUM(BS$5:BS200)+SUM(R$5:R200)-SUM(S$5:S200)+SUM(BV$5:BV200)</f>
        <v>287048.75380649866</v>
      </c>
      <c r="BS201" s="22">
        <f t="shared" si="249"/>
        <v>-839.52720059355659</v>
      </c>
      <c r="BT201" s="22">
        <f t="shared" si="250"/>
        <v>-806.12858360658367</v>
      </c>
      <c r="BU201" s="22">
        <f>IF(U201&lt;0,PMT(BQ201/12,Dane_kredytowe!F$13-SUM(AB$5:AB201)+1,BR201),0)</f>
        <v>-1645.6557842001403</v>
      </c>
      <c r="BV201" s="22">
        <f t="shared" si="243"/>
        <v>247.65019962084102</v>
      </c>
      <c r="BX201" s="23">
        <f>BX$5+SUM(BZ$5:BZ200)+SUM(R$5:R200)-SUM(S$5:S200)+SUM(CB$5,CB200)</f>
        <v>199901.68021232626</v>
      </c>
      <c r="BY201" s="22">
        <f t="shared" si="236"/>
        <v>-561.39055192961621</v>
      </c>
      <c r="BZ201" s="22">
        <f t="shared" si="237"/>
        <v>-832.92366755135947</v>
      </c>
      <c r="CA201" s="22">
        <f t="shared" si="251"/>
        <v>-1394.3142194809757</v>
      </c>
      <c r="CB201" s="22">
        <f t="shared" si="252"/>
        <v>-3.6913650983235584</v>
      </c>
      <c r="CD201" s="22">
        <f>CD$5+SUM(CE$5:CE200)+SUM(R$5:R200)-SUM(S$5:S200)-SUM(CF$5:CF200)</f>
        <v>261392.9911754292</v>
      </c>
      <c r="CE201" s="22">
        <f t="shared" si="244"/>
        <v>561.39055192961621</v>
      </c>
      <c r="CF201" s="22">
        <f t="shared" si="238"/>
        <v>1398.0055845792992</v>
      </c>
      <c r="CG201" s="22">
        <f t="shared" si="245"/>
        <v>836.61503264968303</v>
      </c>
      <c r="CI201" s="89">
        <f t="shared" si="239"/>
        <v>0.42820000000000003</v>
      </c>
      <c r="CJ201" s="22">
        <f t="shared" si="240"/>
        <v>-598.63</v>
      </c>
      <c r="CK201" s="15">
        <f t="shared" si="246"/>
        <v>0</v>
      </c>
      <c r="CM201" s="22">
        <f t="shared" si="247"/>
        <v>-169790.63734357664</v>
      </c>
      <c r="CN201" s="15">
        <f t="shared" si="253"/>
        <v>-240.53673623673362</v>
      </c>
    </row>
    <row r="202" spans="1:92">
      <c r="A202" s="25"/>
      <c r="B202" s="80">
        <v>43252</v>
      </c>
      <c r="C202" s="81">
        <f t="shared" si="217"/>
        <v>3.7269999999999999</v>
      </c>
      <c r="D202" s="82">
        <f t="shared" si="248"/>
        <v>3.8388100000000001</v>
      </c>
      <c r="E202" s="73">
        <f t="shared" si="254"/>
        <v>-374.08344825943504</v>
      </c>
      <c r="F202" s="19">
        <f t="shared" si="255"/>
        <v>-1436.0352820128019</v>
      </c>
      <c r="G202" s="19">
        <f t="shared" si="256"/>
        <v>-1179.6465179686782</v>
      </c>
      <c r="H202" s="19">
        <f t="shared" si="257"/>
        <v>256.38876404412372</v>
      </c>
      <c r="I202" s="62"/>
      <c r="K202" s="15">
        <f>IF(B202&lt;=Dane_kredytowe!F$9,0,K201+1)</f>
        <v>122</v>
      </c>
      <c r="L202" s="83">
        <f t="shared" si="218"/>
        <v>-7.4000000000000003E-3</v>
      </c>
      <c r="M202" s="84">
        <f>L202+Dane_kredytowe!F$12</f>
        <v>2.2599999999999999E-2</v>
      </c>
      <c r="N202" s="79">
        <f>MAX(Dane_kredytowe!F$17+SUM(AA$5:AA201)-SUM(X$5:X202)+SUM(W$5:W202),0)</f>
        <v>71938.488069122715</v>
      </c>
      <c r="O202" s="85">
        <f>MAX(Dane_kredytowe!F$8+SUM(V$5:V201)-SUM(S$5:S202)+SUM(R$5:R201),0)</f>
        <v>226853.09214701815</v>
      </c>
      <c r="P202" s="67">
        <f t="shared" si="180"/>
        <v>360</v>
      </c>
      <c r="Q202" s="127" t="str">
        <f>IF(AND(K202&gt;0,K202&lt;=Dane_kredytowe!F$16),"tak","nie")</f>
        <v>nie</v>
      </c>
      <c r="R202" s="69"/>
      <c r="S202" s="86">
        <f>IF(Dane_kredytowe!F$19=B202,O201+V201,_xlfn.XLOOKUP(B202,Dane_kredytowe!M$9:M$18,Dane_kredytowe!N$9:N$18,0))</f>
        <v>0</v>
      </c>
      <c r="T202" s="71">
        <f t="shared" si="219"/>
        <v>-427.23999021021746</v>
      </c>
      <c r="U202" s="72">
        <f>IF(Q202="tak",T202,IF(P202-SUM(AB$5:AB202)+1&gt;0,IF(Dane_kredytowe!F$9&lt;B202,IF(SUM(AB$5:AB202)-Dane_kredytowe!F$16+1&gt;0,PMT(M202/12,P202+1-SUM(AB$5:AB202),O202),T202),0),0))</f>
        <v>-1179.6465179686782</v>
      </c>
      <c r="V202" s="72">
        <f t="shared" si="241"/>
        <v>-752.4065277584607</v>
      </c>
      <c r="W202" s="19" t="str">
        <f t="shared" si="242"/>
        <v xml:space="preserve"> </v>
      </c>
      <c r="X202" s="19">
        <f t="shared" si="169"/>
        <v>0</v>
      </c>
      <c r="Y202" s="73">
        <f t="shared" si="220"/>
        <v>-135.48415253018109</v>
      </c>
      <c r="Z202" s="19">
        <f>IF(P202-SUM(AB$5:AB202)+1&gt;0,IF(Dane_kredytowe!F$9&lt;B202,IF(SUM(AB$5:AB202)-Dane_kredytowe!F$16+1&gt;0,PMT(M202/12,P202+1-SUM(AB$5:AB202),N202),Y202),0),0)</f>
        <v>-374.08344825943504</v>
      </c>
      <c r="AA202" s="19">
        <f t="shared" si="258"/>
        <v>-238.59929572925395</v>
      </c>
      <c r="AB202" s="20">
        <f>IF(AND(Dane_kredytowe!F$9&lt;B202,SUM(AB$5:AB201)&lt;P201),1," ")</f>
        <v>1</v>
      </c>
      <c r="AD202" s="75">
        <f>IF(OR(B202&lt;Dane_kredytowe!F$15,Dane_kredytowe!F$15=""),-F202+S202,0)</f>
        <v>0</v>
      </c>
      <c r="AE202" s="75">
        <f t="shared" si="221"/>
        <v>374.08344825943504</v>
      </c>
      <c r="AG202" s="22">
        <f>Dane_kredytowe!F$17-SUM(AI$5:AI201)+SUM(W$42:W202)-SUM(X$42:X202)</f>
        <v>63159.000000000087</v>
      </c>
      <c r="AH202" s="22">
        <f t="shared" si="222"/>
        <v>118.95</v>
      </c>
      <c r="AI202" s="22">
        <f t="shared" si="223"/>
        <v>264.26</v>
      </c>
      <c r="AJ202" s="22">
        <f t="shared" si="259"/>
        <v>383.21</v>
      </c>
      <c r="AK202" s="22">
        <f t="shared" si="224"/>
        <v>1471.07</v>
      </c>
      <c r="AL202" s="22">
        <f>Dane_kredytowe!F$8-SUM(AN$5:AN201)+SUM(R$42:R201)-SUM(S$42:S202)</f>
        <v>199167.06999999983</v>
      </c>
      <c r="AM202" s="22">
        <f t="shared" si="225"/>
        <v>375.1</v>
      </c>
      <c r="AN202" s="22">
        <f t="shared" si="226"/>
        <v>833.34</v>
      </c>
      <c r="AO202" s="22">
        <f t="shared" si="260"/>
        <v>1208.44</v>
      </c>
      <c r="AP202" s="22">
        <f t="shared" si="261"/>
        <v>262.62999999999988</v>
      </c>
      <c r="AR202" s="87">
        <f t="shared" si="227"/>
        <v>43252</v>
      </c>
      <c r="AS202" s="23">
        <f>AS$5+SUM(AV$5:AV201)-SUM(X$5:X202)+SUM(W$5:W202)</f>
        <v>105151.15052703168</v>
      </c>
      <c r="AT202" s="22">
        <f t="shared" si="228"/>
        <v>-198.03466682590965</v>
      </c>
      <c r="AU202" s="22">
        <f>IF(AB202=1,IF(Q202="tak",AT202,PMT(M202/12,P202+1-SUM(AB$5:AB202),AS202)),0)</f>
        <v>-546.79082134452506</v>
      </c>
      <c r="AV202" s="22">
        <f t="shared" si="177"/>
        <v>-348.7561545186154</v>
      </c>
      <c r="AW202" s="22">
        <f t="shared" si="229"/>
        <v>-2037.8893911510447</v>
      </c>
      <c r="AY202" s="23">
        <f>AY$5+SUM(BA$5:BA201)+SUM(W$5:W201)-SUM(X$5:X201)</f>
        <v>92317.601437841935</v>
      </c>
      <c r="AZ202" s="23">
        <f t="shared" si="230"/>
        <v>-198.03466682590965</v>
      </c>
      <c r="BA202" s="23">
        <f t="shared" si="231"/>
        <v>-386.27</v>
      </c>
      <c r="BB202" s="23">
        <f t="shared" si="262"/>
        <v>-584.30466682590964</v>
      </c>
      <c r="BC202" s="23">
        <f t="shared" si="232"/>
        <v>-2177.703493260165</v>
      </c>
      <c r="BE202" s="88">
        <f t="shared" si="233"/>
        <v>1.7000000000000001E-2</v>
      </c>
      <c r="BF202" s="89">
        <f>BE202+Dane_kredytowe!F$12</f>
        <v>4.7E-2</v>
      </c>
      <c r="BG202" s="23">
        <f>BG$5+SUM(BH$5:BH201)+SUM(R$5:R201)-SUM(S$5:S201)</f>
        <v>251025.68032108597</v>
      </c>
      <c r="BH202" s="22">
        <f t="shared" si="263"/>
        <v>-636.23472178923987</v>
      </c>
      <c r="BI202" s="22">
        <f t="shared" si="264"/>
        <v>-983.18391459091993</v>
      </c>
      <c r="BJ202" s="22">
        <f>IF(U202&lt;0,PMT(BF202/12,Dane_kredytowe!F$13-SUM(AB$5:AB202)+1,BG202),0)</f>
        <v>-1619.4186363801598</v>
      </c>
      <c r="BL202" s="23">
        <f>BL$5+SUM(BN$5:BN201)+SUM(R$5:R201)-SUM(S$5:S201)</f>
        <v>199166.6666666668</v>
      </c>
      <c r="BM202" s="23">
        <f t="shared" si="194"/>
        <v>-780.06944444444491</v>
      </c>
      <c r="BN202" s="23">
        <f t="shared" si="234"/>
        <v>-833.33333333333394</v>
      </c>
      <c r="BO202" s="23">
        <f t="shared" si="179"/>
        <v>-1613.4027777777787</v>
      </c>
      <c r="BQ202" s="89">
        <f t="shared" si="235"/>
        <v>3.3700000000000001E-2</v>
      </c>
      <c r="BR202" s="23">
        <f>BR$5+SUM(BS$5:BS201)+SUM(R$5:R201)-SUM(S$5:S201)+SUM(BV$5:BV201)</f>
        <v>286456.87680552591</v>
      </c>
      <c r="BS202" s="22">
        <f t="shared" si="249"/>
        <v>-842.61333625186023</v>
      </c>
      <c r="BT202" s="22">
        <f t="shared" si="250"/>
        <v>-804.4663956955186</v>
      </c>
      <c r="BU202" s="22">
        <f>IF(U202&lt;0,PMT(BQ202/12,Dane_kredytowe!F$13-SUM(AB$5:AB202)+1,BR202),0)</f>
        <v>-1647.0797319473788</v>
      </c>
      <c r="BV202" s="22">
        <f t="shared" si="243"/>
        <v>211.04444993457696</v>
      </c>
      <c r="BX202" s="23">
        <f>BX$5+SUM(BZ$5:BZ201)+SUM(R$5:R201)-SUM(S$5:S201)+SUM(CB$5,CB201)</f>
        <v>199028.91010041616</v>
      </c>
      <c r="BY202" s="22">
        <f t="shared" si="236"/>
        <v>-558.93952253200212</v>
      </c>
      <c r="BZ202" s="22">
        <f t="shared" si="237"/>
        <v>-832.75694602684587</v>
      </c>
      <c r="CA202" s="22">
        <f t="shared" si="251"/>
        <v>-1391.696468558848</v>
      </c>
      <c r="CB202" s="22">
        <f t="shared" si="252"/>
        <v>-44.33881345395389</v>
      </c>
      <c r="CD202" s="22">
        <f>CD$5+SUM(CE$5:CE201)+SUM(R$5:R201)-SUM(S$5:S201)-SUM(CF$5:CF201)</f>
        <v>260556.37614277948</v>
      </c>
      <c r="CE202" s="22">
        <f t="shared" si="244"/>
        <v>558.93952253200212</v>
      </c>
      <c r="CF202" s="22">
        <f t="shared" si="238"/>
        <v>1436.0352820128019</v>
      </c>
      <c r="CG202" s="22">
        <f t="shared" si="245"/>
        <v>877.09575948079976</v>
      </c>
      <c r="CI202" s="89">
        <f t="shared" si="239"/>
        <v>0.42670000000000002</v>
      </c>
      <c r="CJ202" s="22">
        <f t="shared" si="240"/>
        <v>-612.76</v>
      </c>
      <c r="CK202" s="15">
        <f t="shared" si="246"/>
        <v>0</v>
      </c>
      <c r="CM202" s="22">
        <f t="shared" si="247"/>
        <v>-171226.67262558945</v>
      </c>
      <c r="CN202" s="15">
        <f t="shared" si="253"/>
        <v>-242.57111955291839</v>
      </c>
    </row>
    <row r="203" spans="1:92">
      <c r="A203" s="25"/>
      <c r="B203" s="80">
        <v>43283</v>
      </c>
      <c r="C203" s="81">
        <f t="shared" si="217"/>
        <v>3.7263000000000002</v>
      </c>
      <c r="D203" s="82">
        <f t="shared" si="248"/>
        <v>3.8380890000000001</v>
      </c>
      <c r="E203" s="73">
        <f t="shared" si="254"/>
        <v>-374.08344825943499</v>
      </c>
      <c r="F203" s="19">
        <f t="shared" si="255"/>
        <v>-1435.7655678466067</v>
      </c>
      <c r="G203" s="19">
        <f t="shared" si="256"/>
        <v>-1179.6465179686779</v>
      </c>
      <c r="H203" s="19">
        <f t="shared" si="257"/>
        <v>256.11904987792877</v>
      </c>
      <c r="I203" s="62"/>
      <c r="K203" s="15">
        <f>IF(B203&lt;=Dane_kredytowe!F$9,0,K202+1)</f>
        <v>123</v>
      </c>
      <c r="L203" s="83">
        <f t="shared" si="218"/>
        <v>-7.4000000000000003E-3</v>
      </c>
      <c r="M203" s="84">
        <f>L203+Dane_kredytowe!F$12</f>
        <v>2.2599999999999999E-2</v>
      </c>
      <c r="N203" s="79">
        <f>MAX(Dane_kredytowe!F$17+SUM(AA$5:AA202)-SUM(X$5:X203)+SUM(W$5:W203),0)</f>
        <v>71699.888773393468</v>
      </c>
      <c r="O203" s="85">
        <f>MAX(Dane_kredytowe!F$8+SUM(V$5:V202)-SUM(S$5:S203)+SUM(R$5:R202),0)</f>
        <v>226100.68561925969</v>
      </c>
      <c r="P203" s="67">
        <f t="shared" si="180"/>
        <v>360</v>
      </c>
      <c r="Q203" s="127" t="str">
        <f>IF(AND(K203&gt;0,K203&lt;=Dane_kredytowe!F$16),"tak","nie")</f>
        <v>nie</v>
      </c>
      <c r="R203" s="69"/>
      <c r="S203" s="86">
        <f>IF(Dane_kredytowe!F$19=B203,O202+V202,_xlfn.XLOOKUP(B203,Dane_kredytowe!M$9:M$18,Dane_kredytowe!N$9:N$18,0))</f>
        <v>0</v>
      </c>
      <c r="T203" s="71">
        <f t="shared" si="219"/>
        <v>-425.8229579162724</v>
      </c>
      <c r="U203" s="72">
        <f>IF(Q203="tak",T203,IF(P203-SUM(AB$5:AB203)+1&gt;0,IF(Dane_kredytowe!F$9&lt;B203,IF(SUM(AB$5:AB203)-Dane_kredytowe!F$16+1&gt;0,PMT(M203/12,P203+1-SUM(AB$5:AB203),O203),T203),0),0))</f>
        <v>-1179.6465179686779</v>
      </c>
      <c r="V203" s="72">
        <f t="shared" si="241"/>
        <v>-753.82356005240558</v>
      </c>
      <c r="W203" s="19" t="str">
        <f t="shared" si="242"/>
        <v xml:space="preserve"> </v>
      </c>
      <c r="X203" s="19">
        <f t="shared" si="169"/>
        <v>0</v>
      </c>
      <c r="Y203" s="73">
        <f t="shared" si="220"/>
        <v>-135.03479052322436</v>
      </c>
      <c r="Z203" s="19">
        <f>IF(P203-SUM(AB$5:AB203)+1&gt;0,IF(Dane_kredytowe!F$9&lt;B203,IF(SUM(AB$5:AB203)-Dane_kredytowe!F$16+1&gt;0,PMT(M203/12,P203+1-SUM(AB$5:AB203),N203),Y203),0),0)</f>
        <v>-374.08344825943499</v>
      </c>
      <c r="AA203" s="19">
        <f t="shared" si="258"/>
        <v>-239.04865773621063</v>
      </c>
      <c r="AB203" s="20">
        <f>IF(AND(Dane_kredytowe!F$9&lt;B203,SUM(AB$5:AB202)&lt;P202),1," ")</f>
        <v>1</v>
      </c>
      <c r="AD203" s="75">
        <f>IF(OR(B203&lt;Dane_kredytowe!F$15,Dane_kredytowe!F$15=""),-F203+S203,0)</f>
        <v>0</v>
      </c>
      <c r="AE203" s="75">
        <f t="shared" si="221"/>
        <v>374.08344825943499</v>
      </c>
      <c r="AG203" s="22">
        <f>Dane_kredytowe!F$17-SUM(AI$5:AI202)+SUM(W$42:W203)-SUM(X$42:X203)</f>
        <v>62894.740000000093</v>
      </c>
      <c r="AH203" s="22">
        <f t="shared" si="222"/>
        <v>118.45</v>
      </c>
      <c r="AI203" s="22">
        <f t="shared" si="223"/>
        <v>264.26</v>
      </c>
      <c r="AJ203" s="22">
        <f t="shared" si="259"/>
        <v>382.71</v>
      </c>
      <c r="AK203" s="22">
        <f t="shared" si="224"/>
        <v>1468.88</v>
      </c>
      <c r="AL203" s="22">
        <f>Dane_kredytowe!F$8-SUM(AN$5:AN202)+SUM(R$42:R202)-SUM(S$42:S203)</f>
        <v>198333.72999999984</v>
      </c>
      <c r="AM203" s="22">
        <f t="shared" si="225"/>
        <v>373.53</v>
      </c>
      <c r="AN203" s="22">
        <f t="shared" si="226"/>
        <v>833.33</v>
      </c>
      <c r="AO203" s="22">
        <f t="shared" si="260"/>
        <v>1206.8600000000001</v>
      </c>
      <c r="AP203" s="22">
        <f t="shared" si="261"/>
        <v>262.02</v>
      </c>
      <c r="AR203" s="87">
        <f t="shared" si="227"/>
        <v>43283</v>
      </c>
      <c r="AS203" s="23">
        <f>AS$5+SUM(AV$5:AV202)-SUM(X$5:X203)+SUM(W$5:W203)</f>
        <v>104802.39437251308</v>
      </c>
      <c r="AT203" s="22">
        <f t="shared" si="228"/>
        <v>-197.37784273489964</v>
      </c>
      <c r="AU203" s="22">
        <f>IF(AB203=1,IF(Q203="tak",AT203,PMT(M203/12,P203+1-SUM(AB$5:AB203),AS203)),0)</f>
        <v>-546.79082134452506</v>
      </c>
      <c r="AV203" s="22">
        <f t="shared" ref="AV203:AV208" si="265">AU203-AT203</f>
        <v>-349.41297860962538</v>
      </c>
      <c r="AW203" s="22">
        <f t="shared" si="229"/>
        <v>-2037.5066375761039</v>
      </c>
      <c r="AY203" s="23">
        <f>AY$5+SUM(BA$5:BA202)+SUM(W$5:W202)-SUM(X$5:X202)</f>
        <v>91931.331437841931</v>
      </c>
      <c r="AZ203" s="23">
        <f t="shared" si="230"/>
        <v>-197.37784273489964</v>
      </c>
      <c r="BA203" s="23">
        <f t="shared" si="231"/>
        <v>-386.27</v>
      </c>
      <c r="BB203" s="23">
        <f t="shared" si="262"/>
        <v>-583.64784273489965</v>
      </c>
      <c r="BC203" s="23">
        <f t="shared" si="232"/>
        <v>-2174.8469563830567</v>
      </c>
      <c r="BE203" s="88">
        <f t="shared" si="233"/>
        <v>1.7000000000000001E-2</v>
      </c>
      <c r="BF203" s="89">
        <f>BE203+Dane_kredytowe!F$12</f>
        <v>4.7E-2</v>
      </c>
      <c r="BG203" s="23">
        <f>BG$5+SUM(BH$5:BH202)+SUM(R$5:R202)-SUM(S$5:S202)</f>
        <v>250389.44559929671</v>
      </c>
      <c r="BH203" s="22">
        <f t="shared" si="263"/>
        <v>-638.72664111624738</v>
      </c>
      <c r="BI203" s="22">
        <f t="shared" si="264"/>
        <v>-980.69199526391219</v>
      </c>
      <c r="BJ203" s="22">
        <f>IF(U203&lt;0,PMT(BF203/12,Dane_kredytowe!F$13-SUM(AB$5:AB203)+1,BG203),0)</f>
        <v>-1619.4186363801596</v>
      </c>
      <c r="BL203" s="23">
        <f>BL$5+SUM(BN$5:BN202)+SUM(R$5:R202)-SUM(S$5:S202)</f>
        <v>198333.33333333349</v>
      </c>
      <c r="BM203" s="23">
        <f t="shared" si="194"/>
        <v>-776.80555555555611</v>
      </c>
      <c r="BN203" s="23">
        <f t="shared" si="234"/>
        <v>-833.33333333333394</v>
      </c>
      <c r="BO203" s="23">
        <f t="shared" si="179"/>
        <v>-1610.1388888888901</v>
      </c>
      <c r="BQ203" s="89">
        <f t="shared" si="235"/>
        <v>3.3700000000000001E-2</v>
      </c>
      <c r="BR203" s="23">
        <f>BR$5+SUM(BS$5:BS202)+SUM(R$5:R202)-SUM(S$5:S202)+SUM(BV$5:BV202)</f>
        <v>285825.30791920866</v>
      </c>
      <c r="BS203" s="22">
        <f t="shared" si="249"/>
        <v>-845.60404289619396</v>
      </c>
      <c r="BT203" s="22">
        <f t="shared" si="250"/>
        <v>-802.69273973977761</v>
      </c>
      <c r="BU203" s="22">
        <f>IF(U203&lt;0,PMT(BQ203/12,Dane_kredytowe!F$13-SUM(AB$5:AB203)+1,BR203),0)</f>
        <v>-1648.2967826359716</v>
      </c>
      <c r="BV203" s="22">
        <f t="shared" si="243"/>
        <v>212.53121478936487</v>
      </c>
      <c r="BX203" s="23">
        <f>BX$5+SUM(BZ$5:BZ202)+SUM(R$5:R202)-SUM(S$5:S202)+SUM(CB$5,CB202)</f>
        <v>198155.5057060337</v>
      </c>
      <c r="BY203" s="22">
        <f t="shared" si="236"/>
        <v>-556.486711857778</v>
      </c>
      <c r="BZ203" s="22">
        <f t="shared" si="237"/>
        <v>-832.58615842871302</v>
      </c>
      <c r="CA203" s="22">
        <f t="shared" si="251"/>
        <v>-1389.072870286491</v>
      </c>
      <c r="CB203" s="22">
        <f t="shared" si="252"/>
        <v>-46.692697560115676</v>
      </c>
      <c r="CD203" s="22">
        <f>CD$5+SUM(CE$5:CE202)+SUM(R$5:R202)-SUM(S$5:S202)-SUM(CF$5:CF202)</f>
        <v>259679.28038329867</v>
      </c>
      <c r="CE203" s="22">
        <f t="shared" si="244"/>
        <v>556.486711857778</v>
      </c>
      <c r="CF203" s="22">
        <f t="shared" si="238"/>
        <v>1435.7655678466067</v>
      </c>
      <c r="CG203" s="22">
        <f t="shared" si="245"/>
        <v>879.2788559888287</v>
      </c>
      <c r="CI203" s="89">
        <f t="shared" si="239"/>
        <v>0.42959999999999998</v>
      </c>
      <c r="CJ203" s="22">
        <f t="shared" si="240"/>
        <v>-616.79999999999995</v>
      </c>
      <c r="CK203" s="15">
        <f t="shared" si="246"/>
        <v>0</v>
      </c>
      <c r="CM203" s="22">
        <f t="shared" si="247"/>
        <v>-172662.43819343604</v>
      </c>
      <c r="CN203" s="15">
        <f t="shared" si="253"/>
        <v>-244.60512077403442</v>
      </c>
    </row>
    <row r="204" spans="1:92">
      <c r="A204" s="25"/>
      <c r="B204" s="80">
        <v>43315</v>
      </c>
      <c r="C204" s="81">
        <f t="shared" si="217"/>
        <v>3.7566000000000002</v>
      </c>
      <c r="D204" s="82">
        <f t="shared" si="248"/>
        <v>3.8692980000000001</v>
      </c>
      <c r="E204" s="73">
        <f t="shared" si="254"/>
        <v>-374.08344825943504</v>
      </c>
      <c r="F204" s="19">
        <f t="shared" si="255"/>
        <v>-1447.4403381833356</v>
      </c>
      <c r="G204" s="19">
        <f t="shared" si="256"/>
        <v>-1179.6465179686782</v>
      </c>
      <c r="H204" s="19">
        <f t="shared" si="257"/>
        <v>267.79382021465744</v>
      </c>
      <c r="I204" s="62"/>
      <c r="K204" s="15">
        <f>IF(B204&lt;=Dane_kredytowe!F$9,0,K203+1)</f>
        <v>124</v>
      </c>
      <c r="L204" s="83">
        <f t="shared" si="218"/>
        <v>-7.4000000000000003E-3</v>
      </c>
      <c r="M204" s="84">
        <f>L204+Dane_kredytowe!F$12</f>
        <v>2.2599999999999999E-2</v>
      </c>
      <c r="N204" s="79">
        <f>MAX(Dane_kredytowe!F$17+SUM(AA$5:AA203)-SUM(X$5:X204)+SUM(W$5:W204),0)</f>
        <v>71460.840115657251</v>
      </c>
      <c r="O204" s="85">
        <f>MAX(Dane_kredytowe!F$8+SUM(V$5:V203)-SUM(S$5:S204)+SUM(R$5:R203),0)</f>
        <v>225346.86205920728</v>
      </c>
      <c r="P204" s="67">
        <f t="shared" si="180"/>
        <v>360</v>
      </c>
      <c r="Q204" s="127" t="str">
        <f>IF(AND(K204&gt;0,K204&lt;=Dane_kredytowe!F$16),"tak","nie")</f>
        <v>nie</v>
      </c>
      <c r="R204" s="69"/>
      <c r="S204" s="86">
        <f>IF(Dane_kredytowe!F$19=B204,O203+V203,_xlfn.XLOOKUP(B204,Dane_kredytowe!M$9:M$18,Dane_kredytowe!N$9:N$18,0))</f>
        <v>0</v>
      </c>
      <c r="T204" s="71">
        <f t="shared" si="219"/>
        <v>-424.40325687817364</v>
      </c>
      <c r="U204" s="72">
        <f>IF(Q204="tak",T204,IF(P204-SUM(AB$5:AB204)+1&gt;0,IF(Dane_kredytowe!F$9&lt;B204,IF(SUM(AB$5:AB204)-Dane_kredytowe!F$16+1&gt;0,PMT(M204/12,P204+1-SUM(AB$5:AB204),O204),T204),0),0))</f>
        <v>-1179.6465179686782</v>
      </c>
      <c r="V204" s="72">
        <f t="shared" si="241"/>
        <v>-755.24326109050457</v>
      </c>
      <c r="W204" s="19" t="str">
        <f t="shared" si="242"/>
        <v xml:space="preserve"> </v>
      </c>
      <c r="X204" s="19">
        <f t="shared" si="169"/>
        <v>0</v>
      </c>
      <c r="Y204" s="73">
        <f t="shared" si="220"/>
        <v>-134.58458221782115</v>
      </c>
      <c r="Z204" s="19">
        <f>IF(P204-SUM(AB$5:AB204)+1&gt;0,IF(Dane_kredytowe!F$9&lt;B204,IF(SUM(AB$5:AB204)-Dane_kredytowe!F$16+1&gt;0,PMT(M204/12,P204+1-SUM(AB$5:AB204),N204),Y204),0),0)</f>
        <v>-374.08344825943504</v>
      </c>
      <c r="AA204" s="19">
        <f t="shared" si="258"/>
        <v>-239.49886604161389</v>
      </c>
      <c r="AB204" s="20">
        <f>IF(AND(Dane_kredytowe!F$9&lt;B204,SUM(AB$5:AB203)&lt;P203),1," ")</f>
        <v>1</v>
      </c>
      <c r="AD204" s="75">
        <f>IF(OR(B204&lt;Dane_kredytowe!F$15,Dane_kredytowe!F$15=""),-F204+S204,0)</f>
        <v>0</v>
      </c>
      <c r="AE204" s="75">
        <f t="shared" si="221"/>
        <v>374.08344825943504</v>
      </c>
      <c r="AG204" s="22">
        <f>Dane_kredytowe!F$17-SUM(AI$5:AI203)+SUM(W$42:W204)-SUM(X$42:X204)</f>
        <v>62630.480000000098</v>
      </c>
      <c r="AH204" s="22">
        <f t="shared" si="222"/>
        <v>117.95</v>
      </c>
      <c r="AI204" s="22">
        <f t="shared" si="223"/>
        <v>264.26</v>
      </c>
      <c r="AJ204" s="22">
        <f t="shared" si="259"/>
        <v>382.21</v>
      </c>
      <c r="AK204" s="22">
        <f t="shared" si="224"/>
        <v>1478.88</v>
      </c>
      <c r="AL204" s="22">
        <f>Dane_kredytowe!F$8-SUM(AN$5:AN203)+SUM(R$42:R203)-SUM(S$42:S204)</f>
        <v>197500.39999999985</v>
      </c>
      <c r="AM204" s="22">
        <f t="shared" si="225"/>
        <v>371.96</v>
      </c>
      <c r="AN204" s="22">
        <f t="shared" si="226"/>
        <v>833.34</v>
      </c>
      <c r="AO204" s="22">
        <f t="shared" si="260"/>
        <v>1205.3</v>
      </c>
      <c r="AP204" s="22">
        <f t="shared" si="261"/>
        <v>273.58000000000015</v>
      </c>
      <c r="AR204" s="87">
        <f t="shared" si="227"/>
        <v>43315</v>
      </c>
      <c r="AS204" s="23">
        <f>AS$5+SUM(AV$5:AV203)-SUM(X$5:X204)+SUM(W$5:W204)</f>
        <v>104452.98139390345</v>
      </c>
      <c r="AT204" s="22">
        <f t="shared" si="228"/>
        <v>-196.71978162518482</v>
      </c>
      <c r="AU204" s="22">
        <f>IF(AB204=1,IF(Q204="tak",AT204,PMT(M204/12,P204+1-SUM(AB$5:AB204),AS204)),0)</f>
        <v>-546.79082134452506</v>
      </c>
      <c r="AV204" s="22">
        <f t="shared" si="265"/>
        <v>-350.07103971934021</v>
      </c>
      <c r="AW204" s="22">
        <f t="shared" si="229"/>
        <v>-2054.0743994628428</v>
      </c>
      <c r="AY204" s="23">
        <f>AY$5+SUM(BA$5:BA203)+SUM(W$5:W203)-SUM(X$5:X203)</f>
        <v>91545.061437841941</v>
      </c>
      <c r="AZ204" s="23">
        <f t="shared" si="230"/>
        <v>-196.71978162518482</v>
      </c>
      <c r="BA204" s="23">
        <f t="shared" si="231"/>
        <v>-386.27</v>
      </c>
      <c r="BB204" s="23">
        <f t="shared" si="262"/>
        <v>-582.98978162518483</v>
      </c>
      <c r="BC204" s="23">
        <f t="shared" si="232"/>
        <v>-2190.0594136531695</v>
      </c>
      <c r="BE204" s="88">
        <f t="shared" si="233"/>
        <v>1.7000000000000001E-2</v>
      </c>
      <c r="BF204" s="89">
        <f>BE204+Dane_kredytowe!F$12</f>
        <v>4.7E-2</v>
      </c>
      <c r="BG204" s="23">
        <f>BG$5+SUM(BH$5:BH203)+SUM(R$5:R203)-SUM(S$5:S203)</f>
        <v>249750.71895818046</v>
      </c>
      <c r="BH204" s="22">
        <f t="shared" si="263"/>
        <v>-641.22832046061978</v>
      </c>
      <c r="BI204" s="22">
        <f t="shared" si="264"/>
        <v>-978.19031591954001</v>
      </c>
      <c r="BJ204" s="22">
        <f>IF(U204&lt;0,PMT(BF204/12,Dane_kredytowe!F$13-SUM(AB$5:AB204)+1,BG204),0)</f>
        <v>-1619.4186363801598</v>
      </c>
      <c r="BL204" s="23">
        <f>BL$5+SUM(BN$5:BN203)+SUM(R$5:R203)-SUM(S$5:S203)</f>
        <v>197500.00000000015</v>
      </c>
      <c r="BM204" s="23">
        <f t="shared" si="194"/>
        <v>-773.54166666666731</v>
      </c>
      <c r="BN204" s="23">
        <f t="shared" si="234"/>
        <v>-833.33333333333394</v>
      </c>
      <c r="BO204" s="23">
        <f t="shared" si="179"/>
        <v>-1606.8750000000014</v>
      </c>
      <c r="BQ204" s="89">
        <f t="shared" si="235"/>
        <v>3.3700000000000001E-2</v>
      </c>
      <c r="BR204" s="23">
        <f>BR$5+SUM(BS$5:BS203)+SUM(R$5:R203)-SUM(S$5:S203)+SUM(BV$5:BV203)</f>
        <v>285192.23509110179</v>
      </c>
      <c r="BS204" s="22">
        <f t="shared" si="249"/>
        <v>-848.61118370876272</v>
      </c>
      <c r="BT204" s="22">
        <f t="shared" si="250"/>
        <v>-800.91486021417757</v>
      </c>
      <c r="BU204" s="22">
        <f>IF(U204&lt;0,PMT(BQ204/12,Dane_kredytowe!F$13-SUM(AB$5:AB204)+1,BR204),0)</f>
        <v>-1649.5260439229403</v>
      </c>
      <c r="BV204" s="22">
        <f t="shared" si="243"/>
        <v>202.08570573960469</v>
      </c>
      <c r="BX204" s="23">
        <f>BX$5+SUM(BZ$5:BZ203)+SUM(R$5:R203)-SUM(S$5:S203)+SUM(CB$5,CB203)</f>
        <v>197320.5656634988</v>
      </c>
      <c r="BY204" s="22">
        <f t="shared" si="236"/>
        <v>-554.1419219049925</v>
      </c>
      <c r="BZ204" s="22">
        <f t="shared" si="237"/>
        <v>-832.57622642826493</v>
      </c>
      <c r="CA204" s="22">
        <f t="shared" si="251"/>
        <v>-1386.7181483332574</v>
      </c>
      <c r="CB204" s="22">
        <f t="shared" si="252"/>
        <v>-60.722189850078166</v>
      </c>
      <c r="CD204" s="22">
        <f>CD$5+SUM(CE$5:CE203)+SUM(R$5:R203)-SUM(S$5:S203)-SUM(CF$5:CF203)</f>
        <v>258800.00152730985</v>
      </c>
      <c r="CE204" s="22">
        <f t="shared" si="244"/>
        <v>554.1419219049925</v>
      </c>
      <c r="CF204" s="22">
        <f t="shared" si="238"/>
        <v>1447.4403381833356</v>
      </c>
      <c r="CG204" s="22">
        <f t="shared" si="245"/>
        <v>893.2984162783431</v>
      </c>
      <c r="CI204" s="89">
        <f t="shared" si="239"/>
        <v>0.42959999999999998</v>
      </c>
      <c r="CJ204" s="22">
        <f t="shared" si="240"/>
        <v>-621.82000000000005</v>
      </c>
      <c r="CK204" s="15">
        <f t="shared" si="246"/>
        <v>0</v>
      </c>
      <c r="CM204" s="22">
        <f t="shared" si="247"/>
        <v>-174109.87853161938</v>
      </c>
      <c r="CN204" s="15">
        <f t="shared" si="253"/>
        <v>-246.65566125312748</v>
      </c>
    </row>
    <row r="205" spans="1:92">
      <c r="A205" s="25"/>
      <c r="B205" s="80">
        <v>43347</v>
      </c>
      <c r="C205" s="81">
        <f t="shared" si="217"/>
        <v>3.8086000000000002</v>
      </c>
      <c r="D205" s="82">
        <f t="shared" si="248"/>
        <v>3.9228580000000002</v>
      </c>
      <c r="E205" s="73">
        <f t="shared" si="254"/>
        <v>-374.08344825943504</v>
      </c>
      <c r="F205" s="19">
        <f t="shared" si="255"/>
        <v>-1467.476247672111</v>
      </c>
      <c r="G205" s="19">
        <f t="shared" si="256"/>
        <v>-1179.6465179686782</v>
      </c>
      <c r="H205" s="19">
        <f t="shared" si="257"/>
        <v>287.8297297034328</v>
      </c>
      <c r="I205" s="62"/>
      <c r="K205" s="15">
        <f>IF(B205&lt;=Dane_kredytowe!F$9,0,K204+1)</f>
        <v>125</v>
      </c>
      <c r="L205" s="83">
        <f t="shared" si="218"/>
        <v>-7.4000000000000003E-3</v>
      </c>
      <c r="M205" s="84">
        <f>L205+Dane_kredytowe!F$12</f>
        <v>2.2599999999999999E-2</v>
      </c>
      <c r="N205" s="79">
        <f>MAX(Dane_kredytowe!F$17+SUM(AA$5:AA204)-SUM(X$5:X205)+SUM(W$5:W205),0)</f>
        <v>71221.341249615638</v>
      </c>
      <c r="O205" s="85">
        <f>MAX(Dane_kredytowe!F$8+SUM(V$5:V204)-SUM(S$5:S205)+SUM(R$5:R204),0)</f>
        <v>224591.61879811677</v>
      </c>
      <c r="P205" s="67">
        <f t="shared" si="180"/>
        <v>360</v>
      </c>
      <c r="Q205" s="127" t="str">
        <f>IF(AND(K205&gt;0,K205&lt;=Dane_kredytowe!F$16),"tak","nie")</f>
        <v>nie</v>
      </c>
      <c r="R205" s="69"/>
      <c r="S205" s="86">
        <f>IF(Dane_kredytowe!F$19=B205,O204+V204,_xlfn.XLOOKUP(B205,Dane_kredytowe!M$9:M$18,Dane_kredytowe!N$9:N$18,0))</f>
        <v>0</v>
      </c>
      <c r="T205" s="71">
        <f t="shared" si="219"/>
        <v>-422.98088206978656</v>
      </c>
      <c r="U205" s="72">
        <f>IF(Q205="tak",T205,IF(P205-SUM(AB$5:AB205)+1&gt;0,IF(Dane_kredytowe!F$9&lt;B205,IF(SUM(AB$5:AB205)-Dane_kredytowe!F$16+1&gt;0,PMT(M205/12,P205+1-SUM(AB$5:AB205),O205),T205),0),0))</f>
        <v>-1179.6465179686782</v>
      </c>
      <c r="V205" s="72">
        <f t="shared" si="241"/>
        <v>-756.66563589889165</v>
      </c>
      <c r="W205" s="19" t="str">
        <f t="shared" si="242"/>
        <v xml:space="preserve"> </v>
      </c>
      <c r="X205" s="19">
        <f t="shared" si="169"/>
        <v>0</v>
      </c>
      <c r="Y205" s="73">
        <f t="shared" si="220"/>
        <v>-134.13352602010943</v>
      </c>
      <c r="Z205" s="19">
        <f>IF(P205-SUM(AB$5:AB205)+1&gt;0,IF(Dane_kredytowe!F$9&lt;B205,IF(SUM(AB$5:AB205)-Dane_kredytowe!F$16+1&gt;0,PMT(M205/12,P205+1-SUM(AB$5:AB205),N205),Y205),0),0)</f>
        <v>-374.08344825943504</v>
      </c>
      <c r="AA205" s="19">
        <f t="shared" si="258"/>
        <v>-239.94992223932562</v>
      </c>
      <c r="AB205" s="20">
        <f>IF(AND(Dane_kredytowe!F$9&lt;B205,SUM(AB$5:AB204)&lt;P204),1," ")</f>
        <v>1</v>
      </c>
      <c r="AD205" s="75">
        <f>IF(OR(B205&lt;Dane_kredytowe!F$15,Dane_kredytowe!F$15=""),-F205+S205,0)</f>
        <v>0</v>
      </c>
      <c r="AE205" s="75">
        <f t="shared" si="221"/>
        <v>374.08344825943504</v>
      </c>
      <c r="AG205" s="22">
        <f>Dane_kredytowe!F$17-SUM(AI$5:AI204)+SUM(W$42:W205)-SUM(X$42:X205)</f>
        <v>62366.220000000096</v>
      </c>
      <c r="AH205" s="22">
        <f t="shared" si="222"/>
        <v>117.46</v>
      </c>
      <c r="AI205" s="22">
        <f t="shared" si="223"/>
        <v>264.26</v>
      </c>
      <c r="AJ205" s="22">
        <f t="shared" si="259"/>
        <v>381.71999999999997</v>
      </c>
      <c r="AK205" s="22">
        <f t="shared" si="224"/>
        <v>1497.43</v>
      </c>
      <c r="AL205" s="22">
        <f>Dane_kredytowe!F$8-SUM(AN$5:AN204)+SUM(R$42:R204)-SUM(S$42:S205)</f>
        <v>196667.05999999982</v>
      </c>
      <c r="AM205" s="22">
        <f t="shared" si="225"/>
        <v>370.39</v>
      </c>
      <c r="AN205" s="22">
        <f t="shared" si="226"/>
        <v>833.33</v>
      </c>
      <c r="AO205" s="22">
        <f t="shared" si="260"/>
        <v>1203.72</v>
      </c>
      <c r="AP205" s="22">
        <f t="shared" si="261"/>
        <v>293.71000000000004</v>
      </c>
      <c r="AR205" s="87">
        <f t="shared" si="227"/>
        <v>43347</v>
      </c>
      <c r="AS205" s="23">
        <f>AS$5+SUM(AV$5:AV204)-SUM(X$5:X205)+SUM(W$5:W205)</f>
        <v>104102.9103541841</v>
      </c>
      <c r="AT205" s="22">
        <f t="shared" si="228"/>
        <v>-196.06048116704673</v>
      </c>
      <c r="AU205" s="22">
        <f>IF(AB205=1,IF(Q205="tak",AT205,PMT(M205/12,P205+1-SUM(AB$5:AB205),AS205)),0)</f>
        <v>-546.79082134452506</v>
      </c>
      <c r="AV205" s="22">
        <f t="shared" si="265"/>
        <v>-350.7303401774783</v>
      </c>
      <c r="AW205" s="22">
        <f t="shared" si="229"/>
        <v>-2082.5075221727584</v>
      </c>
      <c r="AY205" s="23">
        <f>AY$5+SUM(BA$5:BA204)+SUM(W$5:W204)-SUM(X$5:X204)</f>
        <v>91158.791437841952</v>
      </c>
      <c r="AZ205" s="23">
        <f t="shared" si="230"/>
        <v>-196.06048116704673</v>
      </c>
      <c r="BA205" s="23">
        <f t="shared" si="231"/>
        <v>-386.27</v>
      </c>
      <c r="BB205" s="23">
        <f t="shared" si="262"/>
        <v>-582.33048116704674</v>
      </c>
      <c r="BC205" s="23">
        <f t="shared" si="232"/>
        <v>-2217.8638705728144</v>
      </c>
      <c r="BE205" s="88">
        <f t="shared" si="233"/>
        <v>1.72E-2</v>
      </c>
      <c r="BF205" s="89">
        <f>BE205+Dane_kredytowe!F$12</f>
        <v>4.7199999999999999E-2</v>
      </c>
      <c r="BG205" s="23">
        <f>BG$5+SUM(BH$5:BH204)+SUM(R$5:R204)-SUM(S$5:S204)</f>
        <v>249109.49063771983</v>
      </c>
      <c r="BH205" s="22">
        <f t="shared" si="263"/>
        <v>-642.29410424732203</v>
      </c>
      <c r="BI205" s="22">
        <f t="shared" si="264"/>
        <v>-979.83066317503142</v>
      </c>
      <c r="BJ205" s="22">
        <f>IF(U205&lt;0,PMT(BF205/12,Dane_kredytowe!F$13-SUM(AB$5:AB205)+1,BG205),0)</f>
        <v>-1622.1247674223534</v>
      </c>
      <c r="BL205" s="23">
        <f>BL$5+SUM(BN$5:BN204)+SUM(R$5:R204)-SUM(S$5:S204)</f>
        <v>196666.6666666668</v>
      </c>
      <c r="BM205" s="23">
        <f t="shared" si="194"/>
        <v>-773.55555555555611</v>
      </c>
      <c r="BN205" s="23">
        <f t="shared" si="234"/>
        <v>-833.33333333333394</v>
      </c>
      <c r="BO205" s="23">
        <f t="shared" si="179"/>
        <v>-1606.8888888888901</v>
      </c>
      <c r="BQ205" s="89">
        <f t="shared" si="235"/>
        <v>3.39E-2</v>
      </c>
      <c r="BR205" s="23">
        <f>BR$5+SUM(BS$5:BS204)+SUM(R$5:R204)-SUM(S$5:S204)+SUM(BV$5:BV204)</f>
        <v>284545.70961313264</v>
      </c>
      <c r="BS205" s="22">
        <f t="shared" si="249"/>
        <v>-849.75472289331617</v>
      </c>
      <c r="BT205" s="22">
        <f t="shared" si="250"/>
        <v>-803.84162965709959</v>
      </c>
      <c r="BU205" s="22">
        <f>IF(U205&lt;0,PMT(BQ205/12,Dane_kredytowe!F$13-SUM(AB$5:AB205)+1,BR205),0)</f>
        <v>-1653.5963525504158</v>
      </c>
      <c r="BV205" s="22">
        <f t="shared" si="243"/>
        <v>186.1201048783048</v>
      </c>
      <c r="BX205" s="23">
        <f>BX$5+SUM(BZ$5:BZ204)+SUM(R$5:R204)-SUM(S$5:S204)+SUM(CB$5,CB204)</f>
        <v>196473.95994478057</v>
      </c>
      <c r="BY205" s="22">
        <f t="shared" si="236"/>
        <v>-555.03893684400509</v>
      </c>
      <c r="BZ205" s="22">
        <f t="shared" si="237"/>
        <v>-832.51677942703634</v>
      </c>
      <c r="CA205" s="22">
        <f t="shared" si="251"/>
        <v>-1387.5557162710415</v>
      </c>
      <c r="CB205" s="22">
        <f t="shared" si="252"/>
        <v>-79.920531401069411</v>
      </c>
      <c r="CD205" s="22">
        <f>CD$5+SUM(CE$5:CE204)+SUM(R$5:R204)-SUM(S$5:S204)-SUM(CF$5:CF204)</f>
        <v>257906.7031110315</v>
      </c>
      <c r="CE205" s="22">
        <f t="shared" si="244"/>
        <v>555.03893684400509</v>
      </c>
      <c r="CF205" s="22">
        <f t="shared" si="238"/>
        <v>1467.476247672111</v>
      </c>
      <c r="CG205" s="22">
        <f t="shared" si="245"/>
        <v>912.43731082810586</v>
      </c>
      <c r="CI205" s="89">
        <f t="shared" si="239"/>
        <v>0.42670000000000002</v>
      </c>
      <c r="CJ205" s="22">
        <f t="shared" si="240"/>
        <v>-626.16999999999996</v>
      </c>
      <c r="CK205" s="15">
        <f t="shared" si="246"/>
        <v>0</v>
      </c>
      <c r="CM205" s="22">
        <f t="shared" si="247"/>
        <v>-175577.35477929149</v>
      </c>
      <c r="CN205" s="15">
        <f t="shared" si="253"/>
        <v>-251.66087518365114</v>
      </c>
    </row>
    <row r="206" spans="1:92">
      <c r="A206" s="25"/>
      <c r="B206" s="80">
        <v>43374</v>
      </c>
      <c r="C206" s="81">
        <f t="shared" si="217"/>
        <v>3.7723</v>
      </c>
      <c r="D206" s="82">
        <f t="shared" si="248"/>
        <v>3.8854690000000001</v>
      </c>
      <c r="E206" s="73">
        <f t="shared" si="254"/>
        <v>-374.0834482594351</v>
      </c>
      <c r="F206" s="19">
        <f t="shared" si="255"/>
        <v>-1453.489641625139</v>
      </c>
      <c r="G206" s="19">
        <f t="shared" si="256"/>
        <v>-1179.6465179686782</v>
      </c>
      <c r="H206" s="19">
        <f t="shared" si="257"/>
        <v>273.84312365646088</v>
      </c>
      <c r="I206" s="62"/>
      <c r="K206" s="15">
        <f>IF(B206&lt;=Dane_kredytowe!F$9,0,K205+1)</f>
        <v>126</v>
      </c>
      <c r="L206" s="83">
        <f t="shared" si="218"/>
        <v>-7.4000000000000003E-3</v>
      </c>
      <c r="M206" s="84">
        <f>L206+Dane_kredytowe!F$12</f>
        <v>2.2599999999999999E-2</v>
      </c>
      <c r="N206" s="79">
        <f>MAX(Dane_kredytowe!F$17+SUM(AA$5:AA205)-SUM(X$5:X206)+SUM(W$5:W206),0)</f>
        <v>70981.391327376317</v>
      </c>
      <c r="O206" s="85">
        <f>MAX(Dane_kredytowe!F$8+SUM(V$5:V205)-SUM(S$5:S206)+SUM(R$5:R205),0)</f>
        <v>223834.95316221786</v>
      </c>
      <c r="P206" s="67">
        <f t="shared" si="180"/>
        <v>360</v>
      </c>
      <c r="Q206" s="127" t="str">
        <f>IF(AND(K206&gt;0,K206&lt;=Dane_kredytowe!F$16),"tak","nie")</f>
        <v>nie</v>
      </c>
      <c r="R206" s="69"/>
      <c r="S206" s="86">
        <f>IF(Dane_kredytowe!F$19=B206,O205+V205,_xlfn.XLOOKUP(B206,Dane_kredytowe!M$9:M$18,Dane_kredytowe!N$9:N$18,0))</f>
        <v>0</v>
      </c>
      <c r="T206" s="71">
        <f t="shared" si="219"/>
        <v>-421.55582845551027</v>
      </c>
      <c r="U206" s="72">
        <f>IF(Q206="tak",T206,IF(P206-SUM(AB$5:AB206)+1&gt;0,IF(Dane_kredytowe!F$9&lt;B206,IF(SUM(AB$5:AB206)-Dane_kredytowe!F$16+1&gt;0,PMT(M206/12,P206+1-SUM(AB$5:AB206),O206),T206),0),0))</f>
        <v>-1179.6465179686782</v>
      </c>
      <c r="V206" s="72">
        <f t="shared" si="241"/>
        <v>-758.09068951316794</v>
      </c>
      <c r="W206" s="19" t="str">
        <f t="shared" si="242"/>
        <v xml:space="preserve"> </v>
      </c>
      <c r="X206" s="19">
        <f t="shared" si="169"/>
        <v>0</v>
      </c>
      <c r="Y206" s="73">
        <f t="shared" si="220"/>
        <v>-133.6816203332254</v>
      </c>
      <c r="Z206" s="19">
        <f>IF(P206-SUM(AB$5:AB206)+1&gt;0,IF(Dane_kredytowe!F$9&lt;B206,IF(SUM(AB$5:AB206)-Dane_kredytowe!F$16+1&gt;0,PMT(M206/12,P206+1-SUM(AB$5:AB206),N206),Y206),0),0)</f>
        <v>-374.0834482594351</v>
      </c>
      <c r="AA206" s="19">
        <f t="shared" si="258"/>
        <v>-240.40182792620971</v>
      </c>
      <c r="AB206" s="20">
        <f>IF(AND(Dane_kredytowe!F$9&lt;B206,SUM(AB$5:AB205)&lt;P205),1," ")</f>
        <v>1</v>
      </c>
      <c r="AD206" s="75">
        <f>IF(OR(B206&lt;Dane_kredytowe!F$15,Dane_kredytowe!F$15=""),-F206+S206,0)</f>
        <v>0</v>
      </c>
      <c r="AE206" s="75">
        <f t="shared" si="221"/>
        <v>374.0834482594351</v>
      </c>
      <c r="AG206" s="22">
        <f>Dane_kredytowe!F$17-SUM(AI$5:AI205)+SUM(W$42:W206)-SUM(X$42:X206)</f>
        <v>62101.960000000094</v>
      </c>
      <c r="AH206" s="22">
        <f t="shared" si="222"/>
        <v>116.96</v>
      </c>
      <c r="AI206" s="22">
        <f t="shared" si="223"/>
        <v>264.26</v>
      </c>
      <c r="AJ206" s="22">
        <f t="shared" si="259"/>
        <v>381.21999999999997</v>
      </c>
      <c r="AK206" s="22">
        <f t="shared" si="224"/>
        <v>1481.22</v>
      </c>
      <c r="AL206" s="22">
        <f>Dane_kredytowe!F$8-SUM(AN$5:AN205)+SUM(R$42:R205)-SUM(S$42:S206)</f>
        <v>195833.72999999984</v>
      </c>
      <c r="AM206" s="22">
        <f t="shared" si="225"/>
        <v>368.82</v>
      </c>
      <c r="AN206" s="22">
        <f t="shared" si="226"/>
        <v>833.34</v>
      </c>
      <c r="AO206" s="22">
        <f t="shared" si="260"/>
        <v>1202.1600000000001</v>
      </c>
      <c r="AP206" s="22">
        <f t="shared" si="261"/>
        <v>279.05999999999995</v>
      </c>
      <c r="AR206" s="87">
        <f t="shared" si="227"/>
        <v>43374</v>
      </c>
      <c r="AS206" s="23">
        <f>AS$5+SUM(AV$5:AV205)-SUM(X$5:X206)+SUM(W$5:W206)</f>
        <v>103752.18001400663</v>
      </c>
      <c r="AT206" s="22">
        <f t="shared" si="228"/>
        <v>-195.39993902637914</v>
      </c>
      <c r="AU206" s="22">
        <f>IF(AB206=1,IF(Q206="tak",AT206,PMT(M206/12,P206+1-SUM(AB$5:AB206),AS206)),0)</f>
        <v>-546.79082134452517</v>
      </c>
      <c r="AV206" s="22">
        <f t="shared" si="265"/>
        <v>-351.39088231814605</v>
      </c>
      <c r="AW206" s="22">
        <f t="shared" si="229"/>
        <v>-2062.6590153579523</v>
      </c>
      <c r="AY206" s="23">
        <f>AY$5+SUM(BA$5:BA205)+SUM(W$5:W205)-SUM(X$5:X205)</f>
        <v>90772.521437841948</v>
      </c>
      <c r="AZ206" s="23">
        <f t="shared" si="230"/>
        <v>-195.39993902637914</v>
      </c>
      <c r="BA206" s="23">
        <f t="shared" si="231"/>
        <v>-386.27</v>
      </c>
      <c r="BB206" s="23">
        <f t="shared" si="262"/>
        <v>-581.6699390263791</v>
      </c>
      <c r="BC206" s="23">
        <f t="shared" si="232"/>
        <v>-2194.2335109892097</v>
      </c>
      <c r="BE206" s="88">
        <f t="shared" si="233"/>
        <v>1.72E-2</v>
      </c>
      <c r="BF206" s="89">
        <f>BE206+Dane_kredytowe!F$12</f>
        <v>4.7199999999999999E-2</v>
      </c>
      <c r="BG206" s="23">
        <f>BG$5+SUM(BH$5:BH205)+SUM(R$5:R205)-SUM(S$5:S205)</f>
        <v>248467.19653347251</v>
      </c>
      <c r="BH206" s="22">
        <f t="shared" si="263"/>
        <v>-644.82046105736106</v>
      </c>
      <c r="BI206" s="22">
        <f t="shared" si="264"/>
        <v>-977.30430636499193</v>
      </c>
      <c r="BJ206" s="22">
        <f>IF(U206&lt;0,PMT(BF206/12,Dane_kredytowe!F$13-SUM(AB$5:AB206)+1,BG206),0)</f>
        <v>-1622.124767422353</v>
      </c>
      <c r="BL206" s="23">
        <f>BL$5+SUM(BN$5:BN205)+SUM(R$5:R205)-SUM(S$5:S205)</f>
        <v>195833.33333333349</v>
      </c>
      <c r="BM206" s="23">
        <f t="shared" si="194"/>
        <v>-770.2777777777784</v>
      </c>
      <c r="BN206" s="23">
        <f t="shared" si="234"/>
        <v>-833.33333333333394</v>
      </c>
      <c r="BO206" s="23">
        <f t="shared" si="179"/>
        <v>-1603.6111111111122</v>
      </c>
      <c r="BQ206" s="89">
        <f t="shared" si="235"/>
        <v>3.39E-2</v>
      </c>
      <c r="BR206" s="23">
        <f>BR$5+SUM(BS$5:BS205)+SUM(R$5:R205)-SUM(S$5:S205)+SUM(BV$5:BV205)</f>
        <v>283882.07499511767</v>
      </c>
      <c r="BS206" s="22">
        <f t="shared" si="249"/>
        <v>-852.71434058311081</v>
      </c>
      <c r="BT206" s="22">
        <f t="shared" si="250"/>
        <v>-801.96686186120735</v>
      </c>
      <c r="BU206" s="22">
        <f>IF(U206&lt;0,PMT(BQ206/12,Dane_kredytowe!F$13-SUM(AB$5:AB206)+1,BR206),0)</f>
        <v>-1654.6812024443182</v>
      </c>
      <c r="BV206" s="22">
        <f t="shared" si="243"/>
        <v>201.19156081917913</v>
      </c>
      <c r="BX206" s="23">
        <f>BX$5+SUM(BZ$5:BZ205)+SUM(R$5:R205)-SUM(S$5:S205)+SUM(CB$5,CB205)</f>
        <v>195622.24482380255</v>
      </c>
      <c r="BY206" s="22">
        <f t="shared" si="236"/>
        <v>-552.63284162724221</v>
      </c>
      <c r="BZ206" s="22">
        <f t="shared" si="237"/>
        <v>-832.43508435660658</v>
      </c>
      <c r="CA206" s="22">
        <f t="shared" si="251"/>
        <v>-1385.0679259838489</v>
      </c>
      <c r="CB206" s="22">
        <f t="shared" si="252"/>
        <v>-68.42171564129012</v>
      </c>
      <c r="CD206" s="22">
        <f>CD$5+SUM(CE$5:CE205)+SUM(R$5:R205)-SUM(S$5:S205)-SUM(CF$5:CF205)</f>
        <v>256994.26580020337</v>
      </c>
      <c r="CE206" s="22">
        <f t="shared" si="244"/>
        <v>552.63284162724221</v>
      </c>
      <c r="CF206" s="22">
        <f t="shared" si="238"/>
        <v>1453.489641625139</v>
      </c>
      <c r="CG206" s="22">
        <f t="shared" si="245"/>
        <v>900.85679999789681</v>
      </c>
      <c r="CI206" s="89">
        <f t="shared" si="239"/>
        <v>0.42109999999999997</v>
      </c>
      <c r="CJ206" s="22">
        <f t="shared" si="240"/>
        <v>-612.05999999999995</v>
      </c>
      <c r="CK206" s="15">
        <f t="shared" si="246"/>
        <v>0</v>
      </c>
      <c r="CM206" s="22">
        <f t="shared" si="247"/>
        <v>-177030.84442091663</v>
      </c>
      <c r="CN206" s="15">
        <f t="shared" si="253"/>
        <v>-253.74421033664717</v>
      </c>
    </row>
    <row r="207" spans="1:92">
      <c r="A207" s="25"/>
      <c r="B207" s="80">
        <v>43405</v>
      </c>
      <c r="C207" s="81">
        <f t="shared" si="217"/>
        <v>3.7808000000000002</v>
      </c>
      <c r="D207" s="82">
        <f t="shared" si="248"/>
        <v>3.8942240000000004</v>
      </c>
      <c r="E207" s="73">
        <f>Z207</f>
        <v>-374.0834482594351</v>
      </c>
      <c r="F207" s="19">
        <f>E207*D207</f>
        <v>-1456.7647422146506</v>
      </c>
      <c r="G207" s="19">
        <f>U207</f>
        <v>-1179.6465179686784</v>
      </c>
      <c r="H207" s="19">
        <f>G207-F207</f>
        <v>277.11822424597221</v>
      </c>
      <c r="I207" s="62"/>
      <c r="K207" s="15">
        <f>IF(B207&lt;=Dane_kredytowe!F$9,0,K206+1)</f>
        <v>127</v>
      </c>
      <c r="L207" s="83">
        <f t="shared" si="218"/>
        <v>-7.4000000000000003E-3</v>
      </c>
      <c r="M207" s="84">
        <f>L207+Dane_kredytowe!F$12</f>
        <v>2.2599999999999999E-2</v>
      </c>
      <c r="N207" s="79">
        <f>MAX(Dane_kredytowe!F$17+SUM(AA$5:AA206)-SUM(X$5:X207)+SUM(W$5:W207),0)</f>
        <v>70740.989499450108</v>
      </c>
      <c r="O207" s="85">
        <f>MAX(Dane_kredytowe!F$8+SUM(V$5:V206)-SUM(S$5:S207)+SUM(R$5:R206),0)</f>
        <v>223076.86247270473</v>
      </c>
      <c r="P207" s="67">
        <f t="shared" si="180"/>
        <v>360</v>
      </c>
      <c r="Q207" s="127" t="str">
        <f>IF(AND(K207&gt;0,K207&lt;=Dane_kredytowe!F$16),"tak","nie")</f>
        <v>nie</v>
      </c>
      <c r="R207" s="69"/>
      <c r="S207" s="86">
        <f>IF(Dane_kredytowe!F$19=B207,O206+V206,_xlfn.XLOOKUP(B207,Dane_kredytowe!M$9:M$18,Dane_kredytowe!N$9:N$18,0))</f>
        <v>0</v>
      </c>
      <c r="T207" s="71">
        <f t="shared" si="219"/>
        <v>-420.12809099026055</v>
      </c>
      <c r="U207" s="72">
        <f>IF(Q207="tak",T207,IF(P207-SUM(AB$5:AB207)+1&gt;0,IF(Dane_kredytowe!F$9&lt;B207,IF(SUM(AB$5:AB207)-Dane_kredytowe!F$16+1&gt;0,PMT(M207/12,P207+1-SUM(AB$5:AB207),O207),T207),0),0))</f>
        <v>-1179.6465179686784</v>
      </c>
      <c r="V207" s="72">
        <f t="shared" si="241"/>
        <v>-759.51842697841789</v>
      </c>
      <c r="W207" s="19" t="str">
        <f t="shared" si="242"/>
        <v xml:space="preserve"> </v>
      </c>
      <c r="X207" s="19">
        <f t="shared" ref="X207:X271" si="266">IF(S207&gt;0,S207/D207,0)</f>
        <v>0</v>
      </c>
      <c r="Y207" s="73">
        <f t="shared" si="220"/>
        <v>-133.2288635572977</v>
      </c>
      <c r="Z207" s="19">
        <f>IF(P207-SUM(AB$5:AB207)+1&gt;0,IF(Dane_kredytowe!F$9&lt;B207,IF(SUM(AB$5:AB207)-Dane_kredytowe!F$16+1&gt;0,PMT(M207/12,P207+1-SUM(AB$5:AB207),N207),Y207),0),0)</f>
        <v>-374.0834482594351</v>
      </c>
      <c r="AA207" s="19">
        <f>Z207-Y207</f>
        <v>-240.8545847021374</v>
      </c>
      <c r="AB207" s="20">
        <f>IF(AND(Dane_kredytowe!F$9&lt;B207,SUM(AB$5:AB206)&lt;P206),1," ")</f>
        <v>1</v>
      </c>
      <c r="AD207" s="75">
        <f>IF(OR(B207&lt;Dane_kredytowe!F$15,Dane_kredytowe!F$15=""),-F207+S207,0)</f>
        <v>0</v>
      </c>
      <c r="AE207" s="75">
        <f t="shared" si="221"/>
        <v>374.0834482594351</v>
      </c>
      <c r="AG207" s="22">
        <f>Dane_kredytowe!F$17-SUM(AI$5:AI206)+SUM(W$42:W207)-SUM(X$42:X207)</f>
        <v>61837.700000000092</v>
      </c>
      <c r="AH207" s="22">
        <f t="shared" si="222"/>
        <v>116.46</v>
      </c>
      <c r="AI207" s="22">
        <f t="shared" si="223"/>
        <v>264.26</v>
      </c>
      <c r="AJ207" s="22">
        <f>AI207+AH207</f>
        <v>380.71999999999997</v>
      </c>
      <c r="AK207" s="22">
        <f t="shared" si="224"/>
        <v>1482.61</v>
      </c>
      <c r="AL207" s="22">
        <f>Dane_kredytowe!F$8-SUM(AN$5:AN206)+SUM(R$42:R206)-SUM(S$42:S207)</f>
        <v>195000.38999999984</v>
      </c>
      <c r="AM207" s="22">
        <f t="shared" si="225"/>
        <v>367.25</v>
      </c>
      <c r="AN207" s="22">
        <f t="shared" si="226"/>
        <v>833.33</v>
      </c>
      <c r="AO207" s="22">
        <f>AN207+AM207</f>
        <v>1200.58</v>
      </c>
      <c r="AP207" s="22">
        <f>AK207-AO207</f>
        <v>282.02999999999997</v>
      </c>
      <c r="AR207" s="87">
        <f t="shared" si="227"/>
        <v>43405</v>
      </c>
      <c r="AS207" s="23">
        <f>AS$5+SUM(AV$5:AV206)-SUM(X$5:X207)+SUM(W$5:W207)</f>
        <v>103400.78913168848</v>
      </c>
      <c r="AT207" s="22">
        <f t="shared" si="228"/>
        <v>-194.73815286467996</v>
      </c>
      <c r="AU207" s="22">
        <f>IF(AB207=1,IF(Q207="tak",AT207,PMT(M207/12,P207+1-SUM(AB$5:AB207),AS207)),0)</f>
        <v>-546.79082134452506</v>
      </c>
      <c r="AV207" s="22">
        <f t="shared" si="265"/>
        <v>-352.05266847984512</v>
      </c>
      <c r="AW207" s="22">
        <f t="shared" si="229"/>
        <v>-2067.3067373393806</v>
      </c>
      <c r="AY207" s="23">
        <f>AY$5+SUM(BA$5:BA206)+SUM(W$5:W206)-SUM(X$5:X206)</f>
        <v>90386.251437841944</v>
      </c>
      <c r="AZ207" s="23">
        <f t="shared" si="230"/>
        <v>-194.73815286467996</v>
      </c>
      <c r="BA207" s="23">
        <f t="shared" si="231"/>
        <v>-386.27</v>
      </c>
      <c r="BB207" s="23">
        <f>BA207+AZ207</f>
        <v>-581.00815286467991</v>
      </c>
      <c r="BC207" s="23">
        <f t="shared" si="232"/>
        <v>-2196.6756243507821</v>
      </c>
      <c r="BE207" s="88">
        <f t="shared" si="233"/>
        <v>1.72E-2</v>
      </c>
      <c r="BF207" s="89">
        <f>BE207+Dane_kredytowe!F$12</f>
        <v>4.7199999999999999E-2</v>
      </c>
      <c r="BG207" s="23">
        <f>BG$5+SUM(BH$5:BH206)+SUM(R$5:R206)-SUM(S$5:S206)</f>
        <v>247822.37607241515</v>
      </c>
      <c r="BH207" s="22">
        <f>IF(BJ207&lt;0,BJ207-BI207,0)</f>
        <v>-647.35675487085348</v>
      </c>
      <c r="BI207" s="22">
        <f>IF(BJ207&lt;0,-BG207*BF207/12,0)</f>
        <v>-974.76801255149951</v>
      </c>
      <c r="BJ207" s="22">
        <f>IF(U207&lt;0,PMT(BF207/12,Dane_kredytowe!F$13-SUM(AB$5:AB207)+1,BG207),0)</f>
        <v>-1622.124767422353</v>
      </c>
      <c r="BL207" s="23">
        <f>BL$5+SUM(BN$5:BN206)+SUM(R$5:R206)-SUM(S$5:S206)</f>
        <v>195000.00000000017</v>
      </c>
      <c r="BM207" s="23">
        <f t="shared" si="194"/>
        <v>-767.00000000000057</v>
      </c>
      <c r="BN207" s="23">
        <f t="shared" si="234"/>
        <v>-833.33333333333405</v>
      </c>
      <c r="BO207" s="23">
        <f t="shared" si="179"/>
        <v>-1600.3333333333346</v>
      </c>
      <c r="BQ207" s="89">
        <f t="shared" si="235"/>
        <v>3.39E-2</v>
      </c>
      <c r="BR207" s="23">
        <f>BR$5+SUM(BS$5:BS206)+SUM(R$5:R206)-SUM(S$5:S206)+SUM(BV$5:BV206)</f>
        <v>283230.5522153537</v>
      </c>
      <c r="BS207" s="22">
        <f t="shared" si="249"/>
        <v>-855.73112338600515</v>
      </c>
      <c r="BT207" s="22">
        <f t="shared" si="250"/>
        <v>-800.12631000837416</v>
      </c>
      <c r="BU207" s="22">
        <f>IF(U207&lt;0,PMT(BQ207/12,Dane_kredytowe!F$13-SUM(AB$5:AB207)+1,BR207),0)</f>
        <v>-1655.8574333943793</v>
      </c>
      <c r="BV207" s="22">
        <f t="shared" si="243"/>
        <v>199.09269117972872</v>
      </c>
      <c r="BX207" s="23">
        <f>BX$5+SUM(BZ$5:BZ206)+SUM(R$5:R206)-SUM(S$5:S206)+SUM(CB$5,CB206)</f>
        <v>194801.30855520573</v>
      </c>
      <c r="BY207" s="22">
        <f t="shared" si="236"/>
        <v>-550.31369666845615</v>
      </c>
      <c r="BZ207" s="22">
        <f t="shared" si="237"/>
        <v>-832.48422459489632</v>
      </c>
      <c r="CA207" s="22">
        <f t="shared" si="251"/>
        <v>-1382.7979212633525</v>
      </c>
      <c r="CB207" s="22">
        <f t="shared" si="252"/>
        <v>-73.966820951298132</v>
      </c>
      <c r="CD207" s="22">
        <f>CD$5+SUM(CE$5:CE206)+SUM(R$5:R206)-SUM(S$5:S206)-SUM(CF$5:CF206)</f>
        <v>256093.40900020546</v>
      </c>
      <c r="CE207" s="22">
        <f t="shared" si="244"/>
        <v>550.31369666845615</v>
      </c>
      <c r="CF207" s="22">
        <f t="shared" si="238"/>
        <v>1456.7647422146506</v>
      </c>
      <c r="CG207" s="22">
        <f t="shared" si="245"/>
        <v>906.45104554619445</v>
      </c>
      <c r="CI207" s="89">
        <f t="shared" si="239"/>
        <v>0.42109999999999997</v>
      </c>
      <c r="CJ207" s="22">
        <f t="shared" si="240"/>
        <v>-613.44000000000005</v>
      </c>
      <c r="CK207" s="15">
        <f t="shared" si="246"/>
        <v>0</v>
      </c>
      <c r="CM207" s="22">
        <f t="shared" si="247"/>
        <v>-178487.60916313127</v>
      </c>
      <c r="CN207" s="15">
        <f t="shared" si="253"/>
        <v>-255.83223980048817</v>
      </c>
    </row>
    <row r="208" spans="1:92">
      <c r="A208" s="25"/>
      <c r="B208" s="80">
        <v>43435</v>
      </c>
      <c r="C208" s="81">
        <f t="shared" si="217"/>
        <v>3.7974999999999999</v>
      </c>
      <c r="D208" s="82">
        <f t="shared" si="248"/>
        <v>3.9114249999999999</v>
      </c>
      <c r="E208" s="73">
        <f>Z208</f>
        <v>-374.08344825943504</v>
      </c>
      <c r="F208" s="19">
        <f>E208*D208</f>
        <v>-1463.1993516081607</v>
      </c>
      <c r="G208" s="19">
        <f>U208</f>
        <v>-1179.6465179686782</v>
      </c>
      <c r="H208" s="19">
        <f>G208-F208</f>
        <v>283.55283363948251</v>
      </c>
      <c r="I208" s="62"/>
      <c r="K208" s="15">
        <f>IF(B208&lt;=Dane_kredytowe!F$9,0,K207+1)</f>
        <v>128</v>
      </c>
      <c r="L208" s="83">
        <f t="shared" si="218"/>
        <v>-7.4000000000000003E-3</v>
      </c>
      <c r="M208" s="84">
        <f>L208+Dane_kredytowe!F$12</f>
        <v>2.2599999999999999E-2</v>
      </c>
      <c r="N208" s="79">
        <f>MAX(Dane_kredytowe!F$17+SUM(AA$5:AA207)-SUM(X$5:X208)+SUM(W$5:W208),0)</f>
        <v>70500.134914747963</v>
      </c>
      <c r="O208" s="85">
        <f>MAX(Dane_kredytowe!F$8+SUM(V$5:V207)-SUM(S$5:S208)+SUM(R$5:R207),0)</f>
        <v>222317.34404572629</v>
      </c>
      <c r="P208" s="67">
        <f t="shared" si="180"/>
        <v>360</v>
      </c>
      <c r="Q208" s="127" t="str">
        <f>IF(AND(K208&gt;0,K208&lt;=Dane_kredytowe!F$16),"tak","nie")</f>
        <v>nie</v>
      </c>
      <c r="R208" s="69"/>
      <c r="S208" s="86">
        <f>IF(Dane_kredytowe!F$19=B208,O207+V207,_xlfn.XLOOKUP(B208,Dane_kredytowe!M$9:M$18,Dane_kredytowe!N$9:N$18,0))</f>
        <v>0</v>
      </c>
      <c r="T208" s="71">
        <f t="shared" si="219"/>
        <v>-418.69766461945119</v>
      </c>
      <c r="U208" s="72">
        <f>IF(Q208="tak",T208,IF(P208-SUM(AB$5:AB208)+1&gt;0,IF(Dane_kredytowe!F$9&lt;B208,IF(SUM(AB$5:AB208)-Dane_kredytowe!F$16+1&gt;0,PMT(M208/12,P208+1-SUM(AB$5:AB208),O208),T208),0),0))</f>
        <v>-1179.6465179686782</v>
      </c>
      <c r="V208" s="72">
        <f t="shared" si="241"/>
        <v>-760.94885334922697</v>
      </c>
      <c r="W208" s="19" t="str">
        <f t="shared" si="242"/>
        <v xml:space="preserve"> </v>
      </c>
      <c r="X208" s="19">
        <f t="shared" si="266"/>
        <v>0</v>
      </c>
      <c r="Y208" s="73">
        <f t="shared" si="220"/>
        <v>-132.77525408944197</v>
      </c>
      <c r="Z208" s="19">
        <f>IF(P208-SUM(AB$5:AB208)+1&gt;0,IF(Dane_kredytowe!F$9&lt;B208,IF(SUM(AB$5:AB208)-Dane_kredytowe!F$16+1&gt;0,PMT(M208/12,P208+1-SUM(AB$5:AB208),N208),Y208),0),0)</f>
        <v>-374.08344825943504</v>
      </c>
      <c r="AA208" s="19">
        <f>Z208-Y208</f>
        <v>-241.30819416999307</v>
      </c>
      <c r="AB208" s="20">
        <f>IF(AND(Dane_kredytowe!F$9&lt;B208,SUM(AB$5:AB207)&lt;P207),1," ")</f>
        <v>1</v>
      </c>
      <c r="AD208" s="75">
        <f>IF(OR(B208&lt;Dane_kredytowe!F$15,Dane_kredytowe!F$15=""),-F208+S208,0)</f>
        <v>0</v>
      </c>
      <c r="AE208" s="75">
        <f t="shared" si="221"/>
        <v>374.08344825943504</v>
      </c>
      <c r="AG208" s="22">
        <f>Dane_kredytowe!F$17-SUM(AI$5:AI207)+SUM(W$42:W208)-SUM(X$42:X208)</f>
        <v>61573.44000000009</v>
      </c>
      <c r="AH208" s="22">
        <f t="shared" si="222"/>
        <v>115.96</v>
      </c>
      <c r="AI208" s="22">
        <f t="shared" si="223"/>
        <v>264.26</v>
      </c>
      <c r="AJ208" s="22">
        <f>AI208+AH208</f>
        <v>380.21999999999997</v>
      </c>
      <c r="AK208" s="22">
        <f t="shared" si="224"/>
        <v>1487.2</v>
      </c>
      <c r="AL208" s="22">
        <f>Dane_kredytowe!F$8-SUM(AN$5:AN207)+SUM(R$42:R207)-SUM(S$42:S208)</f>
        <v>194167.05999999982</v>
      </c>
      <c r="AM208" s="22">
        <f t="shared" si="225"/>
        <v>365.68</v>
      </c>
      <c r="AN208" s="22">
        <f t="shared" si="226"/>
        <v>833.34</v>
      </c>
      <c r="AO208" s="22">
        <f>AN208+AM208</f>
        <v>1199.02</v>
      </c>
      <c r="AP208" s="22">
        <f>AK208-AO208</f>
        <v>288.18000000000006</v>
      </c>
      <c r="AR208" s="87">
        <f t="shared" si="227"/>
        <v>43435</v>
      </c>
      <c r="AS208" s="23">
        <f>AS$5+SUM(AV$5:AV207)-SUM(X$5:X208)+SUM(W$5:W208)</f>
        <v>103048.73646320864</v>
      </c>
      <c r="AT208" s="22">
        <f t="shared" si="228"/>
        <v>-194.07512033904291</v>
      </c>
      <c r="AU208" s="22">
        <f>IF(AB208=1,IF(Q208="tak",AT208,PMT(M208/12,P208+1-SUM(AB$5:AB208),AS208)),0)</f>
        <v>-546.79082134452506</v>
      </c>
      <c r="AV208" s="22">
        <f t="shared" si="265"/>
        <v>-352.71570100548217</v>
      </c>
      <c r="AW208" s="22">
        <f t="shared" si="229"/>
        <v>-2076.4381440558336</v>
      </c>
      <c r="AY208" s="23">
        <f>AY$5+SUM(BA$5:BA207)+SUM(W$5:W207)-SUM(X$5:X207)</f>
        <v>89999.981437841954</v>
      </c>
      <c r="AZ208" s="23">
        <f t="shared" si="230"/>
        <v>-194.07512033904291</v>
      </c>
      <c r="BA208" s="23">
        <f t="shared" si="231"/>
        <v>-386.27</v>
      </c>
      <c r="BB208" s="23">
        <f>BA208+AZ208</f>
        <v>-580.34512033904286</v>
      </c>
      <c r="BC208" s="23">
        <f t="shared" si="232"/>
        <v>-2203.8605944875153</v>
      </c>
      <c r="BE208" s="88">
        <f t="shared" si="233"/>
        <v>1.72E-2</v>
      </c>
      <c r="BF208" s="89">
        <f>BE208+Dane_kredytowe!F$12</f>
        <v>4.7199999999999999E-2</v>
      </c>
      <c r="BG208" s="23">
        <f>BG$5+SUM(BH$5:BH207)+SUM(R$5:R207)-SUM(S$5:S207)</f>
        <v>247175.0193175443</v>
      </c>
      <c r="BH208" s="22">
        <f>IF(BJ208&lt;0,BJ208-BI208,0)</f>
        <v>-649.90302477334546</v>
      </c>
      <c r="BI208" s="22">
        <f>IF(BJ208&lt;0,-BG208*BF208/12,0)</f>
        <v>-972.22174264900752</v>
      </c>
      <c r="BJ208" s="22">
        <f>IF(U208&lt;0,PMT(BF208/12,Dane_kredytowe!F$13-SUM(AB$5:AB208)+1,BG208),0)</f>
        <v>-1622.124767422353</v>
      </c>
      <c r="BL208" s="23">
        <f>BL$5+SUM(BN$5:BN207)+SUM(R$5:R207)-SUM(S$5:S207)</f>
        <v>194166.66666666683</v>
      </c>
      <c r="BM208" s="23">
        <f t="shared" si="194"/>
        <v>-763.72222222222274</v>
      </c>
      <c r="BN208" s="23">
        <f t="shared" si="234"/>
        <v>-833.33333333333405</v>
      </c>
      <c r="BO208" s="23">
        <f t="shared" si="179"/>
        <v>-1597.0555555555568</v>
      </c>
      <c r="BQ208" s="89">
        <f t="shared" si="235"/>
        <v>3.39E-2</v>
      </c>
      <c r="BR208" s="23">
        <f>BR$5+SUM(BS$5:BS207)+SUM(R$5:R207)-SUM(S$5:S207)+SUM(BV$5:BV207)</f>
        <v>282573.91378314741</v>
      </c>
      <c r="BS208" s="22">
        <f t="shared" si="249"/>
        <v>-858.75361459398562</v>
      </c>
      <c r="BT208" s="22">
        <f t="shared" si="250"/>
        <v>-798.27130643739144</v>
      </c>
      <c r="BU208" s="22">
        <f>IF(U208&lt;0,PMT(BQ208/12,Dane_kredytowe!F$13-SUM(AB$5:AB208)+1,BR208),0)</f>
        <v>-1657.0249210313771</v>
      </c>
      <c r="BV208" s="22">
        <f t="shared" si="243"/>
        <v>193.82556942321639</v>
      </c>
      <c r="BX208" s="23">
        <f>BX$5+SUM(BZ$5:BZ207)+SUM(R$5:R207)-SUM(S$5:S207)+SUM(CB$5,CB207)</f>
        <v>193963.27922530082</v>
      </c>
      <c r="BY208" s="22">
        <f t="shared" si="236"/>
        <v>-547.94626381147475</v>
      </c>
      <c r="BZ208" s="22">
        <f t="shared" si="237"/>
        <v>-832.46042585966018</v>
      </c>
      <c r="CA208" s="22">
        <f t="shared" si="251"/>
        <v>-1380.4066896711349</v>
      </c>
      <c r="CB208" s="22">
        <f t="shared" si="252"/>
        <v>-82.792661937025741</v>
      </c>
      <c r="CD208" s="22">
        <f>CD$5+SUM(CE$5:CE207)+SUM(R$5:R207)-SUM(S$5:S207)-SUM(CF$5:CF207)</f>
        <v>255186.9579546593</v>
      </c>
      <c r="CE208" s="22">
        <f t="shared" si="244"/>
        <v>547.94626381147475</v>
      </c>
      <c r="CF208" s="22">
        <f t="shared" si="238"/>
        <v>1463.1993516081607</v>
      </c>
      <c r="CG208" s="22">
        <f t="shared" si="245"/>
        <v>915.25308779668592</v>
      </c>
      <c r="CI208" s="89">
        <f t="shared" si="239"/>
        <v>0.42109999999999997</v>
      </c>
      <c r="CJ208" s="22">
        <f t="shared" si="240"/>
        <v>-616.15</v>
      </c>
      <c r="CK208" s="15">
        <f t="shared" si="246"/>
        <v>0</v>
      </c>
      <c r="CM208" s="22">
        <f t="shared" si="247"/>
        <v>-179950.80851473944</v>
      </c>
      <c r="CN208" s="15">
        <f t="shared" si="253"/>
        <v>-257.9294922044599</v>
      </c>
    </row>
    <row r="209" spans="1:92">
      <c r="A209" s="25">
        <v>2019</v>
      </c>
      <c r="B209" s="80">
        <v>43466</v>
      </c>
      <c r="C209" s="81">
        <f t="shared" si="217"/>
        <v>3.8033000000000001</v>
      </c>
      <c r="D209" s="82">
        <f t="shared" si="248"/>
        <v>3.9173990000000001</v>
      </c>
      <c r="E209" s="73">
        <f t="shared" ref="E209:E214" si="267">Z209</f>
        <v>-374.08344825943504</v>
      </c>
      <c r="F209" s="19">
        <f t="shared" ref="F209:F214" si="268">E209*D209</f>
        <v>-1465.4341261280626</v>
      </c>
      <c r="G209" s="19">
        <f t="shared" ref="G209:G214" si="269">U209</f>
        <v>-1179.6465179686782</v>
      </c>
      <c r="H209" s="19">
        <f t="shared" ref="H209:H214" si="270">G209-F209</f>
        <v>285.78760815938449</v>
      </c>
      <c r="I209" s="62"/>
      <c r="K209" s="15">
        <f>IF(B209&lt;=Dane_kredytowe!F$9,0,K208+1)</f>
        <v>129</v>
      </c>
      <c r="L209" s="83">
        <f t="shared" si="218"/>
        <v>-7.4000000000000003E-3</v>
      </c>
      <c r="M209" s="84">
        <f>L209+Dane_kredytowe!F$12</f>
        <v>2.2599999999999999E-2</v>
      </c>
      <c r="N209" s="79">
        <f>MAX(Dane_kredytowe!F$17+SUM(AA$5:AA208)-SUM(X$5:X209)+SUM(W$5:W209),0)</f>
        <v>70258.82672057797</v>
      </c>
      <c r="O209" s="85">
        <f>MAX(Dane_kredytowe!F$8+SUM(V$5:V208)-SUM(S$5:S209)+SUM(R$5:R208),0)</f>
        <v>221556.39519237707</v>
      </c>
      <c r="P209" s="67">
        <f t="shared" si="180"/>
        <v>360</v>
      </c>
      <c r="Q209" s="127" t="str">
        <f>IF(AND(K209&gt;0,K209&lt;=Dane_kredytowe!F$16),"tak","nie")</f>
        <v>nie</v>
      </c>
      <c r="R209" s="69"/>
      <c r="S209" s="86">
        <f>IF(Dane_kredytowe!F$19=B209,O208+V208,_xlfn.XLOOKUP(B209,Dane_kredytowe!M$9:M$18,Dane_kredytowe!N$9:N$18,0))</f>
        <v>0</v>
      </c>
      <c r="T209" s="71">
        <f t="shared" si="219"/>
        <v>-417.26454427897676</v>
      </c>
      <c r="U209" s="72">
        <f>IF(Q209="tak",T209,IF(P209-SUM(AB$5:AB209)+1&gt;0,IF(Dane_kredytowe!F$9&lt;B209,IF(SUM(AB$5:AB209)-Dane_kredytowe!F$16+1&gt;0,PMT(M209/12,P209+1-SUM(AB$5:AB209),O209),T209),0),0))</f>
        <v>-1179.6465179686782</v>
      </c>
      <c r="V209" s="72">
        <f t="shared" si="241"/>
        <v>-762.38197368970145</v>
      </c>
      <c r="W209" s="19" t="str">
        <f t="shared" si="242"/>
        <v xml:space="preserve"> </v>
      </c>
      <c r="X209" s="19">
        <f t="shared" si="266"/>
        <v>0</v>
      </c>
      <c r="Y209" s="73">
        <f t="shared" si="220"/>
        <v>-132.32079032375518</v>
      </c>
      <c r="Z209" s="19">
        <f>IF(P209-SUM(AB$5:AB209)+1&gt;0,IF(Dane_kredytowe!F$9&lt;B209,IF(SUM(AB$5:AB209)-Dane_kredytowe!F$16+1&gt;0,PMT(M209/12,P209+1-SUM(AB$5:AB209),N209),Y209),0),0)</f>
        <v>-374.08344825943504</v>
      </c>
      <c r="AA209" s="19">
        <f t="shared" ref="AA209:AA214" si="271">Z209-Y209</f>
        <v>-241.76265793567987</v>
      </c>
      <c r="AB209" s="20">
        <f>IF(AND(Dane_kredytowe!F$9&lt;B209,SUM(AB$5:AB208)&lt;P208),1," ")</f>
        <v>1</v>
      </c>
      <c r="AD209" s="75">
        <f>IF(OR(B209&lt;Dane_kredytowe!F$15,Dane_kredytowe!F$15=""),-F209+S209,0)</f>
        <v>0</v>
      </c>
      <c r="AE209" s="75">
        <f t="shared" si="221"/>
        <v>374.08344825943504</v>
      </c>
      <c r="AG209" s="22">
        <f>Dane_kredytowe!F$17-SUM(AI$5:AI208)+SUM(W$42:W209)-SUM(X$42:X209)</f>
        <v>61309.180000000088</v>
      </c>
      <c r="AH209" s="22">
        <f t="shared" si="222"/>
        <v>115.47</v>
      </c>
      <c r="AI209" s="22">
        <f t="shared" si="223"/>
        <v>264.26</v>
      </c>
      <c r="AJ209" s="22">
        <f t="shared" ref="AJ209:AJ214" si="272">AI209+AH209</f>
        <v>379.73</v>
      </c>
      <c r="AK209" s="22">
        <f t="shared" si="224"/>
        <v>1487.55</v>
      </c>
      <c r="AL209" s="22">
        <f>Dane_kredytowe!F$8-SUM(AN$5:AN208)+SUM(R$42:R208)-SUM(S$42:S209)</f>
        <v>193333.71999999986</v>
      </c>
      <c r="AM209" s="22">
        <f t="shared" si="225"/>
        <v>364.11</v>
      </c>
      <c r="AN209" s="22">
        <f t="shared" si="226"/>
        <v>833.33</v>
      </c>
      <c r="AO209" s="22">
        <f t="shared" ref="AO209:AO214" si="273">AN209+AM209</f>
        <v>1197.44</v>
      </c>
      <c r="AP209" s="22">
        <f t="shared" ref="AP209:AP214" si="274">AK209-AO209</f>
        <v>290.1099999999999</v>
      </c>
      <c r="AR209" s="87">
        <f t="shared" si="227"/>
        <v>43466</v>
      </c>
      <c r="AS209" s="23">
        <f>AS$5+SUM(AV$5:AV208)-SUM(X$5:X209)+SUM(W$5:W209)</f>
        <v>102696.02076220316</v>
      </c>
      <c r="AT209" s="22">
        <f t="shared" si="228"/>
        <v>-193.41083910214925</v>
      </c>
      <c r="AU209" s="22">
        <f>IF(AB209=1,IF(Q209="tak",AT209,PMT(M209/12,P209+1-SUM(AB$5:AB209),AS209)),0)</f>
        <v>-546.79082134452506</v>
      </c>
      <c r="AV209" s="22">
        <f t="shared" ref="AV209:AV214" si="275">AU209-AT209</f>
        <v>-353.37998224237583</v>
      </c>
      <c r="AW209" s="22">
        <f t="shared" si="229"/>
        <v>-2079.6095308196323</v>
      </c>
      <c r="AY209" s="23">
        <f>AY$5+SUM(BA$5:BA208)+SUM(W$5:W208)-SUM(X$5:X208)</f>
        <v>89613.711437841965</v>
      </c>
      <c r="AZ209" s="23">
        <f t="shared" si="230"/>
        <v>-193.41083910214925</v>
      </c>
      <c r="BA209" s="23">
        <f t="shared" si="231"/>
        <v>-386.27</v>
      </c>
      <c r="BB209" s="23">
        <f t="shared" ref="BB209:BB214" si="276">BA209+AZ209</f>
        <v>-579.68083910214921</v>
      </c>
      <c r="BC209" s="23">
        <f t="shared" si="232"/>
        <v>-2204.7001353572041</v>
      </c>
      <c r="BE209" s="88">
        <f t="shared" si="233"/>
        <v>1.72E-2</v>
      </c>
      <c r="BF209" s="89">
        <f>BE209+Dane_kredytowe!F$12</f>
        <v>4.7199999999999999E-2</v>
      </c>
      <c r="BG209" s="23">
        <f>BG$5+SUM(BH$5:BH208)+SUM(R$5:R208)-SUM(S$5:S208)</f>
        <v>246525.11629277095</v>
      </c>
      <c r="BH209" s="22">
        <f t="shared" ref="BH209:BH214" si="277">IF(BJ209&lt;0,BJ209-BI209,0)</f>
        <v>-652.45931000412077</v>
      </c>
      <c r="BI209" s="22">
        <f t="shared" ref="BI209:BI214" si="278">IF(BJ209&lt;0,-BG209*BF209/12,0)</f>
        <v>-969.66545741823245</v>
      </c>
      <c r="BJ209" s="22">
        <f>IF(U209&lt;0,PMT(BF209/12,Dane_kredytowe!F$13-SUM(AB$5:AB209)+1,BG209),0)</f>
        <v>-1622.1247674223532</v>
      </c>
      <c r="BL209" s="23">
        <f>BL$5+SUM(BN$5:BN208)+SUM(R$5:R208)-SUM(S$5:S208)</f>
        <v>193333.33333333349</v>
      </c>
      <c r="BM209" s="23">
        <f t="shared" si="194"/>
        <v>-760.44444444444514</v>
      </c>
      <c r="BN209" s="23">
        <f t="shared" si="234"/>
        <v>-833.33333333333405</v>
      </c>
      <c r="BO209" s="23">
        <f t="shared" si="179"/>
        <v>-1593.7777777777792</v>
      </c>
      <c r="BQ209" s="89">
        <f t="shared" si="235"/>
        <v>3.39E-2</v>
      </c>
      <c r="BR209" s="23">
        <f>BR$5+SUM(BS$5:BS208)+SUM(R$5:R208)-SUM(S$5:S208)+SUM(BV$5:BV208)</f>
        <v>281908.98573797662</v>
      </c>
      <c r="BS209" s="22">
        <f t="shared" si="249"/>
        <v>-861.77210204853247</v>
      </c>
      <c r="BT209" s="22">
        <f t="shared" si="250"/>
        <v>-796.39288470978397</v>
      </c>
      <c r="BU209" s="22">
        <f>IF(U209&lt;0,PMT(BQ209/12,Dane_kredytowe!F$13-SUM(AB$5:AB209)+1,BR209),0)</f>
        <v>-1658.1649867583164</v>
      </c>
      <c r="BV209" s="22">
        <f t="shared" si="243"/>
        <v>192.7308606302538</v>
      </c>
      <c r="BX209" s="23">
        <f>BX$5+SUM(BZ$5:BZ208)+SUM(R$5:R208)-SUM(S$5:S208)+SUM(CB$5,CB208)</f>
        <v>193121.99295845543</v>
      </c>
      <c r="BY209" s="22">
        <f t="shared" si="236"/>
        <v>-545.56963010763661</v>
      </c>
      <c r="BZ209" s="22">
        <f t="shared" si="237"/>
        <v>-832.42238344161819</v>
      </c>
      <c r="CA209" s="22">
        <f t="shared" si="251"/>
        <v>-1377.9920135492548</v>
      </c>
      <c r="CB209" s="22">
        <f t="shared" si="252"/>
        <v>-87.442112578807837</v>
      </c>
      <c r="CD209" s="22">
        <f>CD$5+SUM(CE$5:CE208)+SUM(R$5:R208)-SUM(S$5:S208)-SUM(CF$5:CF208)</f>
        <v>254271.70486686256</v>
      </c>
      <c r="CE209" s="22">
        <f t="shared" si="244"/>
        <v>545.56963010763661</v>
      </c>
      <c r="CF209" s="22">
        <f t="shared" si="238"/>
        <v>1465.4341261280626</v>
      </c>
      <c r="CG209" s="22">
        <f t="shared" si="245"/>
        <v>919.86449602042603</v>
      </c>
      <c r="CI209" s="89">
        <f t="shared" si="239"/>
        <v>0.4239</v>
      </c>
      <c r="CJ209" s="22">
        <f t="shared" si="240"/>
        <v>-621.20000000000005</v>
      </c>
      <c r="CK209" s="15">
        <f t="shared" si="246"/>
        <v>0</v>
      </c>
      <c r="CM209" s="22">
        <f t="shared" si="247"/>
        <v>-181416.24264086751</v>
      </c>
      <c r="CN209" s="15">
        <f t="shared" si="253"/>
        <v>-260.02994778524345</v>
      </c>
    </row>
    <row r="210" spans="1:92">
      <c r="A210" s="25"/>
      <c r="B210" s="80">
        <v>43497</v>
      </c>
      <c r="C210" s="81">
        <f t="shared" si="217"/>
        <v>3.7974999999999999</v>
      </c>
      <c r="D210" s="82">
        <f t="shared" si="248"/>
        <v>3.9114249999999999</v>
      </c>
      <c r="E210" s="73">
        <f t="shared" si="267"/>
        <v>-374.08344825943504</v>
      </c>
      <c r="F210" s="19">
        <f t="shared" si="268"/>
        <v>-1463.1993516081607</v>
      </c>
      <c r="G210" s="19">
        <f t="shared" si="269"/>
        <v>-1179.6465179686782</v>
      </c>
      <c r="H210" s="19">
        <f t="shared" si="270"/>
        <v>283.55283363948251</v>
      </c>
      <c r="I210" s="62"/>
      <c r="K210" s="15">
        <f>IF(B210&lt;=Dane_kredytowe!F$9,0,K209+1)</f>
        <v>130</v>
      </c>
      <c r="L210" s="83">
        <f t="shared" si="218"/>
        <v>-7.4000000000000003E-3</v>
      </c>
      <c r="M210" s="84">
        <f>L210+Dane_kredytowe!F$12</f>
        <v>2.2599999999999999E-2</v>
      </c>
      <c r="N210" s="79">
        <f>MAX(Dane_kredytowe!F$17+SUM(AA$5:AA209)-SUM(X$5:X210)+SUM(W$5:W210),0)</f>
        <v>70017.064062642297</v>
      </c>
      <c r="O210" s="85">
        <f>MAX(Dane_kredytowe!F$8+SUM(V$5:V209)-SUM(S$5:S210)+SUM(R$5:R209),0)</f>
        <v>220794.01321868738</v>
      </c>
      <c r="P210" s="67">
        <f t="shared" si="180"/>
        <v>360</v>
      </c>
      <c r="Q210" s="127" t="str">
        <f>IF(AND(K210&gt;0,K210&lt;=Dane_kredytowe!F$16),"tak","nie")</f>
        <v>nie</v>
      </c>
      <c r="R210" s="69"/>
      <c r="S210" s="86">
        <f>IF(Dane_kredytowe!F$19=B210,O209+V209,_xlfn.XLOOKUP(B210,Dane_kredytowe!M$9:M$18,Dane_kredytowe!N$9:N$18,0))</f>
        <v>0</v>
      </c>
      <c r="T210" s="71">
        <f t="shared" si="219"/>
        <v>-415.82872489519451</v>
      </c>
      <c r="U210" s="72">
        <f>IF(Q210="tak",T210,IF(P210-SUM(AB$5:AB210)+1&gt;0,IF(Dane_kredytowe!F$9&lt;B210,IF(SUM(AB$5:AB210)-Dane_kredytowe!F$16+1&gt;0,PMT(M210/12,P210+1-SUM(AB$5:AB210),O210),T210),0),0))</f>
        <v>-1179.6465179686782</v>
      </c>
      <c r="V210" s="72">
        <f t="shared" si="241"/>
        <v>-763.8177930734837</v>
      </c>
      <c r="W210" s="19" t="str">
        <f t="shared" si="242"/>
        <v xml:space="preserve"> </v>
      </c>
      <c r="X210" s="19">
        <f t="shared" si="266"/>
        <v>0</v>
      </c>
      <c r="Y210" s="73">
        <f t="shared" si="220"/>
        <v>-131.86547065130966</v>
      </c>
      <c r="Z210" s="19">
        <f>IF(P210-SUM(AB$5:AB210)+1&gt;0,IF(Dane_kredytowe!F$9&lt;B210,IF(SUM(AB$5:AB210)-Dane_kredytowe!F$16+1&gt;0,PMT(M210/12,P210+1-SUM(AB$5:AB210),N210),Y210),0),0)</f>
        <v>-374.08344825943504</v>
      </c>
      <c r="AA210" s="19">
        <f t="shared" si="271"/>
        <v>-242.21797760812538</v>
      </c>
      <c r="AB210" s="20">
        <f>IF(AND(Dane_kredytowe!F$9&lt;B210,SUM(AB$5:AB209)&lt;P209),1," ")</f>
        <v>1</v>
      </c>
      <c r="AD210" s="75">
        <f>IF(OR(B210&lt;Dane_kredytowe!F$15,Dane_kredytowe!F$15=""),-F210+S210,0)</f>
        <v>0</v>
      </c>
      <c r="AE210" s="75">
        <f t="shared" si="221"/>
        <v>374.08344825943504</v>
      </c>
      <c r="AG210" s="22">
        <f>Dane_kredytowe!F$17-SUM(AI$5:AI209)+SUM(W$42:W210)-SUM(X$42:X210)</f>
        <v>61044.920000000086</v>
      </c>
      <c r="AH210" s="22">
        <f t="shared" si="222"/>
        <v>114.97</v>
      </c>
      <c r="AI210" s="22">
        <f t="shared" si="223"/>
        <v>264.26</v>
      </c>
      <c r="AJ210" s="22">
        <f t="shared" si="272"/>
        <v>379.23</v>
      </c>
      <c r="AK210" s="22">
        <f t="shared" si="224"/>
        <v>1483.33</v>
      </c>
      <c r="AL210" s="22">
        <f>Dane_kredytowe!F$8-SUM(AN$5:AN209)+SUM(R$42:R209)-SUM(S$42:S210)</f>
        <v>192500.38999999984</v>
      </c>
      <c r="AM210" s="22">
        <f t="shared" si="225"/>
        <v>362.54</v>
      </c>
      <c r="AN210" s="22">
        <f t="shared" si="226"/>
        <v>833.34</v>
      </c>
      <c r="AO210" s="22">
        <f t="shared" si="273"/>
        <v>1195.8800000000001</v>
      </c>
      <c r="AP210" s="22">
        <f t="shared" si="274"/>
        <v>287.44999999999982</v>
      </c>
      <c r="AR210" s="87">
        <f t="shared" si="227"/>
        <v>43497</v>
      </c>
      <c r="AS210" s="23">
        <f>AS$5+SUM(AV$5:AV209)-SUM(X$5:X210)+SUM(W$5:W210)</f>
        <v>102342.64077996078</v>
      </c>
      <c r="AT210" s="22">
        <f t="shared" si="228"/>
        <v>-192.74530680225948</v>
      </c>
      <c r="AU210" s="22">
        <f>IF(AB210=1,IF(Q210="tak",AT210,PMT(M210/12,P210+1-SUM(AB$5:AB210),AS210)),0)</f>
        <v>-546.79082134452506</v>
      </c>
      <c r="AV210" s="22">
        <f t="shared" si="275"/>
        <v>-354.04551454226555</v>
      </c>
      <c r="AW210" s="22">
        <f t="shared" si="229"/>
        <v>-2076.4381440558336</v>
      </c>
      <c r="AY210" s="23">
        <f>AY$5+SUM(BA$5:BA209)+SUM(W$5:W209)-SUM(X$5:X209)</f>
        <v>89227.441437841961</v>
      </c>
      <c r="AZ210" s="23">
        <f t="shared" si="230"/>
        <v>-192.74530680225948</v>
      </c>
      <c r="BA210" s="23">
        <f t="shared" si="231"/>
        <v>-386.27</v>
      </c>
      <c r="BB210" s="23">
        <f t="shared" si="276"/>
        <v>-579.01530680225949</v>
      </c>
      <c r="BC210" s="23">
        <f t="shared" si="232"/>
        <v>-2198.8106275815803</v>
      </c>
      <c r="BE210" s="88">
        <f t="shared" si="233"/>
        <v>1.72E-2</v>
      </c>
      <c r="BF210" s="89">
        <f>BE210+Dane_kredytowe!F$12</f>
        <v>4.7199999999999999E-2</v>
      </c>
      <c r="BG210" s="23">
        <f>BG$5+SUM(BH$5:BH209)+SUM(R$5:R209)-SUM(S$5:S209)</f>
        <v>245872.65698276684</v>
      </c>
      <c r="BH210" s="22">
        <f t="shared" si="277"/>
        <v>-655.02564995680314</v>
      </c>
      <c r="BI210" s="22">
        <f t="shared" si="278"/>
        <v>-967.09911746554963</v>
      </c>
      <c r="BJ210" s="22">
        <f>IF(U210&lt;0,PMT(BF210/12,Dane_kredytowe!F$13-SUM(AB$5:AB210)+1,BG210),0)</f>
        <v>-1622.1247674223528</v>
      </c>
      <c r="BL210" s="23">
        <f>BL$5+SUM(BN$5:BN209)+SUM(R$5:R209)-SUM(S$5:S209)</f>
        <v>192500.00000000017</v>
      </c>
      <c r="BM210" s="23">
        <f t="shared" si="194"/>
        <v>-757.16666666666731</v>
      </c>
      <c r="BN210" s="23">
        <f t="shared" si="234"/>
        <v>-833.33333333333405</v>
      </c>
      <c r="BO210" s="23">
        <f t="shared" si="179"/>
        <v>-1590.5000000000014</v>
      </c>
      <c r="BQ210" s="89">
        <f t="shared" si="235"/>
        <v>3.39E-2</v>
      </c>
      <c r="BR210" s="23">
        <f>BR$5+SUM(BS$5:BS209)+SUM(R$5:R209)-SUM(S$5:S209)+SUM(BV$5:BV209)</f>
        <v>281239.9444965584</v>
      </c>
      <c r="BS210" s="22">
        <f t="shared" si="249"/>
        <v>-864.79924632496522</v>
      </c>
      <c r="BT210" s="22">
        <f t="shared" si="250"/>
        <v>-794.50284320277751</v>
      </c>
      <c r="BU210" s="22">
        <f>IF(U210&lt;0,PMT(BQ210/12,Dane_kredytowe!F$13-SUM(AB$5:AB210)+1,BR210),0)</f>
        <v>-1659.3020895277427</v>
      </c>
      <c r="BV210" s="22">
        <f t="shared" si="243"/>
        <v>196.10273791958207</v>
      </c>
      <c r="BX210" s="23">
        <f>BX$5+SUM(BZ$5:BZ209)+SUM(R$5:R209)-SUM(S$5:S209)+SUM(CB$5,CB209)</f>
        <v>192284.92112437202</v>
      </c>
      <c r="BY210" s="22">
        <f t="shared" si="236"/>
        <v>-543.20490217635097</v>
      </c>
      <c r="BZ210" s="22">
        <f t="shared" si="237"/>
        <v>-832.40225594966239</v>
      </c>
      <c r="CA210" s="22">
        <f t="shared" si="251"/>
        <v>-1375.6071581260135</v>
      </c>
      <c r="CB210" s="22">
        <f t="shared" si="252"/>
        <v>-87.592193482147195</v>
      </c>
      <c r="CD210" s="22">
        <f>CD$5+SUM(CE$5:CE209)+SUM(R$5:R209)-SUM(S$5:S209)-SUM(CF$5:CF209)</f>
        <v>253351.84037084217</v>
      </c>
      <c r="CE210" s="22">
        <f t="shared" si="244"/>
        <v>543.20490217635097</v>
      </c>
      <c r="CF210" s="22">
        <f t="shared" si="238"/>
        <v>1463.1993516081607</v>
      </c>
      <c r="CG210" s="22">
        <f t="shared" si="245"/>
        <v>919.9944494318097</v>
      </c>
      <c r="CI210" s="89">
        <f t="shared" si="239"/>
        <v>0.41820000000000002</v>
      </c>
      <c r="CJ210" s="22">
        <f t="shared" si="240"/>
        <v>-611.91</v>
      </c>
      <c r="CK210" s="15">
        <f t="shared" si="246"/>
        <v>0</v>
      </c>
      <c r="CM210" s="22">
        <f t="shared" si="247"/>
        <v>-182879.44199247568</v>
      </c>
      <c r="CN210" s="15">
        <f t="shared" si="253"/>
        <v>-262.12720018921516</v>
      </c>
    </row>
    <row r="211" spans="1:92">
      <c r="A211" s="25"/>
      <c r="B211" s="80">
        <v>43525</v>
      </c>
      <c r="C211" s="81">
        <f t="shared" si="217"/>
        <v>3.8018999999999998</v>
      </c>
      <c r="D211" s="82">
        <f t="shared" si="248"/>
        <v>3.9159570000000001</v>
      </c>
      <c r="E211" s="73">
        <f t="shared" si="267"/>
        <v>-374.08344825943504</v>
      </c>
      <c r="F211" s="19">
        <f t="shared" si="268"/>
        <v>-1464.8946977956725</v>
      </c>
      <c r="G211" s="19">
        <f t="shared" si="269"/>
        <v>-1179.6465179686784</v>
      </c>
      <c r="H211" s="19">
        <f t="shared" si="270"/>
        <v>285.24817982699415</v>
      </c>
      <c r="I211" s="62"/>
      <c r="K211" s="15">
        <f>IF(B211&lt;=Dane_kredytowe!F$9,0,K210+1)</f>
        <v>131</v>
      </c>
      <c r="L211" s="83">
        <f t="shared" si="218"/>
        <v>-7.4000000000000003E-3</v>
      </c>
      <c r="M211" s="84">
        <f>L211+Dane_kredytowe!F$12</f>
        <v>2.2599999999999999E-2</v>
      </c>
      <c r="N211" s="79">
        <f>MAX(Dane_kredytowe!F$17+SUM(AA$5:AA210)-SUM(X$5:X211)+SUM(W$5:W211),0)</f>
        <v>69774.846085034165</v>
      </c>
      <c r="O211" s="85">
        <f>MAX(Dane_kredytowe!F$8+SUM(V$5:V210)-SUM(S$5:S211)+SUM(R$5:R210),0)</f>
        <v>220030.1954256139</v>
      </c>
      <c r="P211" s="67">
        <f t="shared" si="180"/>
        <v>360</v>
      </c>
      <c r="Q211" s="127" t="str">
        <f>IF(AND(K211&gt;0,K211&lt;=Dane_kredytowe!F$16),"tak","nie")</f>
        <v>nie</v>
      </c>
      <c r="R211" s="69"/>
      <c r="S211" s="86">
        <f>IF(Dane_kredytowe!F$19=B211,O210+V210,_xlfn.XLOOKUP(B211,Dane_kredytowe!M$9:M$18,Dane_kredytowe!N$9:N$18,0))</f>
        <v>0</v>
      </c>
      <c r="T211" s="71">
        <f t="shared" si="219"/>
        <v>-414.39020138490611</v>
      </c>
      <c r="U211" s="72">
        <f>IF(Q211="tak",T211,IF(P211-SUM(AB$5:AB211)+1&gt;0,IF(Dane_kredytowe!F$9&lt;B211,IF(SUM(AB$5:AB211)-Dane_kredytowe!F$16+1&gt;0,PMT(M211/12,P211+1-SUM(AB$5:AB211),O211),T211),0),0))</f>
        <v>-1179.6465179686784</v>
      </c>
      <c r="V211" s="72">
        <f t="shared" si="241"/>
        <v>-765.25631658377233</v>
      </c>
      <c r="W211" s="19" t="str">
        <f t="shared" si="242"/>
        <v xml:space="preserve"> </v>
      </c>
      <c r="X211" s="19">
        <f t="shared" si="266"/>
        <v>0</v>
      </c>
      <c r="Y211" s="73">
        <f t="shared" si="220"/>
        <v>-131.40929346014767</v>
      </c>
      <c r="Z211" s="19">
        <f>IF(P211-SUM(AB$5:AB211)+1&gt;0,IF(Dane_kredytowe!F$9&lt;B211,IF(SUM(AB$5:AB211)-Dane_kredytowe!F$16+1&gt;0,PMT(M211/12,P211+1-SUM(AB$5:AB211),N211),Y211),0),0)</f>
        <v>-374.08344825943504</v>
      </c>
      <c r="AA211" s="19">
        <f t="shared" si="271"/>
        <v>-242.67415479928738</v>
      </c>
      <c r="AB211" s="20">
        <f>IF(AND(Dane_kredytowe!F$9&lt;B211,SUM(AB$5:AB210)&lt;P210),1," ")</f>
        <v>1</v>
      </c>
      <c r="AD211" s="75">
        <f>IF(OR(B211&lt;Dane_kredytowe!F$15,Dane_kredytowe!F$15=""),-F211+S211,0)</f>
        <v>0</v>
      </c>
      <c r="AE211" s="75">
        <f t="shared" si="221"/>
        <v>374.08344825943504</v>
      </c>
      <c r="AG211" s="22">
        <f>Dane_kredytowe!F$17-SUM(AI$5:AI210)+SUM(W$42:W211)-SUM(X$42:X211)</f>
        <v>60780.660000000084</v>
      </c>
      <c r="AH211" s="22">
        <f t="shared" si="222"/>
        <v>114.47</v>
      </c>
      <c r="AI211" s="22">
        <f t="shared" si="223"/>
        <v>264.26</v>
      </c>
      <c r="AJ211" s="22">
        <f t="shared" si="272"/>
        <v>378.73</v>
      </c>
      <c r="AK211" s="22">
        <f t="shared" si="224"/>
        <v>1483.09</v>
      </c>
      <c r="AL211" s="22">
        <f>Dane_kredytowe!F$8-SUM(AN$5:AN210)+SUM(R$42:R210)-SUM(S$42:S211)</f>
        <v>191667.04999999984</v>
      </c>
      <c r="AM211" s="22">
        <f t="shared" si="225"/>
        <v>360.97</v>
      </c>
      <c r="AN211" s="22">
        <f t="shared" si="226"/>
        <v>833.33</v>
      </c>
      <c r="AO211" s="22">
        <f t="shared" si="273"/>
        <v>1194.3000000000002</v>
      </c>
      <c r="AP211" s="22">
        <f t="shared" si="274"/>
        <v>288.78999999999974</v>
      </c>
      <c r="AR211" s="87">
        <f t="shared" si="227"/>
        <v>43525</v>
      </c>
      <c r="AS211" s="23">
        <f>AS$5+SUM(AV$5:AV210)-SUM(X$5:X211)+SUM(W$5:W211)</f>
        <v>101988.59526541852</v>
      </c>
      <c r="AT211" s="22">
        <f t="shared" si="228"/>
        <v>-192.07852108320489</v>
      </c>
      <c r="AU211" s="22">
        <f>IF(AB211=1,IF(Q211="tak",AT211,PMT(M211/12,P211+1-SUM(AB$5:AB211),AS211)),0)</f>
        <v>-546.79082134452517</v>
      </c>
      <c r="AV211" s="22">
        <f t="shared" si="275"/>
        <v>-354.71230026132025</v>
      </c>
      <c r="AW211" s="22">
        <f t="shared" si="229"/>
        <v>-2078.8440236697502</v>
      </c>
      <c r="AY211" s="23">
        <f>AY$5+SUM(BA$5:BA210)+SUM(W$5:W210)-SUM(X$5:X210)</f>
        <v>88841.171437841957</v>
      </c>
      <c r="AZ211" s="23">
        <f t="shared" si="230"/>
        <v>-192.07852108320489</v>
      </c>
      <c r="BA211" s="23">
        <f t="shared" si="231"/>
        <v>-386.27</v>
      </c>
      <c r="BB211" s="23">
        <f t="shared" si="276"/>
        <v>-578.3485210832049</v>
      </c>
      <c r="BC211" s="23">
        <f t="shared" si="232"/>
        <v>-2198.8232423062368</v>
      </c>
      <c r="BE211" s="88">
        <f t="shared" si="233"/>
        <v>1.72E-2</v>
      </c>
      <c r="BF211" s="89">
        <f>BE211+Dane_kredytowe!F$12</f>
        <v>4.7199999999999999E-2</v>
      </c>
      <c r="BG211" s="23">
        <f>BG$5+SUM(BH$5:BH210)+SUM(R$5:R210)-SUM(S$5:S210)</f>
        <v>245217.63133281004</v>
      </c>
      <c r="BH211" s="22">
        <f t="shared" si="277"/>
        <v>-657.60208417996694</v>
      </c>
      <c r="BI211" s="22">
        <f t="shared" si="278"/>
        <v>-964.52268324238605</v>
      </c>
      <c r="BJ211" s="22">
        <f>IF(U211&lt;0,PMT(BF211/12,Dane_kredytowe!F$13-SUM(AB$5:AB211)+1,BG211),0)</f>
        <v>-1622.124767422353</v>
      </c>
      <c r="BL211" s="23">
        <f>BL$5+SUM(BN$5:BN210)+SUM(R$5:R210)-SUM(S$5:S210)</f>
        <v>191666.66666666686</v>
      </c>
      <c r="BM211" s="23">
        <f t="shared" si="194"/>
        <v>-753.8888888888896</v>
      </c>
      <c r="BN211" s="23">
        <f t="shared" si="234"/>
        <v>-833.33333333333417</v>
      </c>
      <c r="BO211" s="23">
        <f t="shared" si="179"/>
        <v>-1587.2222222222238</v>
      </c>
      <c r="BQ211" s="89">
        <f t="shared" si="235"/>
        <v>3.39E-2</v>
      </c>
      <c r="BR211" s="23">
        <f>BR$5+SUM(BS$5:BS210)+SUM(R$5:R210)-SUM(S$5:S210)+SUM(BV$5:BV210)</f>
        <v>280571.24798815302</v>
      </c>
      <c r="BS211" s="22">
        <f t="shared" si="249"/>
        <v>-867.8488793262386</v>
      </c>
      <c r="BT211" s="22">
        <f t="shared" si="250"/>
        <v>-792.61377556653224</v>
      </c>
      <c r="BU211" s="22">
        <f>IF(U211&lt;0,PMT(BQ211/12,Dane_kredytowe!F$13-SUM(AB$5:AB211)+1,BR211),0)</f>
        <v>-1660.4626548927708</v>
      </c>
      <c r="BV211" s="22">
        <f t="shared" si="243"/>
        <v>195.56795709709831</v>
      </c>
      <c r="BX211" s="23">
        <f>BX$5+SUM(BZ$5:BZ210)+SUM(R$5:R210)-SUM(S$5:S210)+SUM(CB$5,CB210)</f>
        <v>191452.36878751899</v>
      </c>
      <c r="BY211" s="22">
        <f t="shared" si="236"/>
        <v>-540.85294182474115</v>
      </c>
      <c r="BZ211" s="22">
        <f t="shared" si="237"/>
        <v>-832.40160342399565</v>
      </c>
      <c r="CA211" s="22">
        <f t="shared" si="251"/>
        <v>-1373.2545452487368</v>
      </c>
      <c r="CB211" s="22">
        <f t="shared" si="252"/>
        <v>-91.640152546935724</v>
      </c>
      <c r="CD211" s="22">
        <f>CD$5+SUM(CE$5:CE210)+SUM(R$5:R210)-SUM(S$5:S210)-SUM(CF$5:CF210)</f>
        <v>252431.84592141033</v>
      </c>
      <c r="CE211" s="22">
        <f t="shared" si="244"/>
        <v>540.85294182474115</v>
      </c>
      <c r="CF211" s="22">
        <f t="shared" si="238"/>
        <v>1464.8946977956725</v>
      </c>
      <c r="CG211" s="22">
        <f t="shared" si="245"/>
        <v>924.04175597093138</v>
      </c>
      <c r="CI211" s="89">
        <f t="shared" si="239"/>
        <v>0.41399999999999998</v>
      </c>
      <c r="CJ211" s="22">
        <f t="shared" si="240"/>
        <v>-606.47</v>
      </c>
      <c r="CK211" s="15">
        <f t="shared" si="246"/>
        <v>0</v>
      </c>
      <c r="CM211" s="22">
        <f t="shared" si="247"/>
        <v>-184344.33669027136</v>
      </c>
      <c r="CN211" s="15">
        <f t="shared" si="253"/>
        <v>-264.22688258938894</v>
      </c>
    </row>
    <row r="212" spans="1:92">
      <c r="A212" s="25"/>
      <c r="B212" s="80">
        <v>43556</v>
      </c>
      <c r="C212" s="81">
        <f t="shared" si="217"/>
        <v>3.786</v>
      </c>
      <c r="D212" s="82">
        <f t="shared" si="248"/>
        <v>3.8995800000000003</v>
      </c>
      <c r="E212" s="73">
        <f t="shared" si="267"/>
        <v>-374.0834482594351</v>
      </c>
      <c r="F212" s="19">
        <f t="shared" si="268"/>
        <v>-1458.768333163528</v>
      </c>
      <c r="G212" s="19">
        <f t="shared" si="269"/>
        <v>-1179.6465179686784</v>
      </c>
      <c r="H212" s="19">
        <f t="shared" si="270"/>
        <v>279.12181519484966</v>
      </c>
      <c r="I212" s="62"/>
      <c r="K212" s="15">
        <f>IF(B212&lt;=Dane_kredytowe!F$9,0,K211+1)</f>
        <v>132</v>
      </c>
      <c r="L212" s="83">
        <f t="shared" si="218"/>
        <v>-7.4000000000000003E-3</v>
      </c>
      <c r="M212" s="84">
        <f>L212+Dane_kredytowe!F$12</f>
        <v>2.2599999999999999E-2</v>
      </c>
      <c r="N212" s="79">
        <f>MAX(Dane_kredytowe!F$17+SUM(AA$5:AA211)-SUM(X$5:X212)+SUM(W$5:W212),0)</f>
        <v>69532.171930234879</v>
      </c>
      <c r="O212" s="85">
        <f>MAX(Dane_kredytowe!F$8+SUM(V$5:V211)-SUM(S$5:S212)+SUM(R$5:R211),0)</f>
        <v>219264.93910903012</v>
      </c>
      <c r="P212" s="67">
        <f t="shared" si="180"/>
        <v>360</v>
      </c>
      <c r="Q212" s="127" t="str">
        <f>IF(AND(K212&gt;0,K212&lt;=Dane_kredytowe!F$16),"tak","nie")</f>
        <v>nie</v>
      </c>
      <c r="R212" s="69"/>
      <c r="S212" s="86">
        <f>IF(Dane_kredytowe!F$19=B212,O211+V211,_xlfn.XLOOKUP(B212,Dane_kredytowe!M$9:M$18,Dane_kredytowe!N$9:N$18,0))</f>
        <v>0</v>
      </c>
      <c r="T212" s="71">
        <f t="shared" si="219"/>
        <v>-412.94896865534002</v>
      </c>
      <c r="U212" s="72">
        <f>IF(Q212="tak",T212,IF(P212-SUM(AB$5:AB212)+1&gt;0,IF(Dane_kredytowe!F$9&lt;B212,IF(SUM(AB$5:AB212)-Dane_kredytowe!F$16+1&gt;0,PMT(M212/12,P212+1-SUM(AB$5:AB212),O212),T212),0),0))</f>
        <v>-1179.6465179686784</v>
      </c>
      <c r="V212" s="72">
        <f t="shared" si="241"/>
        <v>-766.69754931333841</v>
      </c>
      <c r="W212" s="19" t="str">
        <f t="shared" si="242"/>
        <v xml:space="preserve"> </v>
      </c>
      <c r="X212" s="19">
        <f t="shared" si="266"/>
        <v>0</v>
      </c>
      <c r="Y212" s="73">
        <f t="shared" si="220"/>
        <v>-130.95225713527569</v>
      </c>
      <c r="Z212" s="19">
        <f>IF(P212-SUM(AB$5:AB212)+1&gt;0,IF(Dane_kredytowe!F$9&lt;B212,IF(SUM(AB$5:AB212)-Dane_kredytowe!F$16+1&gt;0,PMT(M212/12,P212+1-SUM(AB$5:AB212),N212),Y212),0),0)</f>
        <v>-374.0834482594351</v>
      </c>
      <c r="AA212" s="19">
        <f t="shared" si="271"/>
        <v>-243.13119112415941</v>
      </c>
      <c r="AB212" s="20">
        <f>IF(AND(Dane_kredytowe!F$9&lt;B212,SUM(AB$5:AB211)&lt;P211),1," ")</f>
        <v>1</v>
      </c>
      <c r="AD212" s="75">
        <f>IF(OR(B212&lt;Dane_kredytowe!F$15,Dane_kredytowe!F$15=""),-F212+S212,0)</f>
        <v>0</v>
      </c>
      <c r="AE212" s="75">
        <f t="shared" si="221"/>
        <v>374.0834482594351</v>
      </c>
      <c r="AG212" s="22">
        <f>Dane_kredytowe!F$17-SUM(AI$5:AI211)+SUM(W$42:W212)-SUM(X$42:X212)</f>
        <v>60516.400000000081</v>
      </c>
      <c r="AH212" s="22">
        <f t="shared" si="222"/>
        <v>113.97</v>
      </c>
      <c r="AI212" s="22">
        <f t="shared" si="223"/>
        <v>264.26</v>
      </c>
      <c r="AJ212" s="22">
        <f t="shared" si="272"/>
        <v>378.23</v>
      </c>
      <c r="AK212" s="22">
        <f t="shared" si="224"/>
        <v>1474.94</v>
      </c>
      <c r="AL212" s="22">
        <f>Dane_kredytowe!F$8-SUM(AN$5:AN211)+SUM(R$42:R211)-SUM(S$42:S212)</f>
        <v>190833.71999999986</v>
      </c>
      <c r="AM212" s="22">
        <f t="shared" si="225"/>
        <v>359.4</v>
      </c>
      <c r="AN212" s="22">
        <f t="shared" si="226"/>
        <v>833.34</v>
      </c>
      <c r="AO212" s="22">
        <f t="shared" si="273"/>
        <v>1192.74</v>
      </c>
      <c r="AP212" s="22">
        <f t="shared" si="274"/>
        <v>282.20000000000005</v>
      </c>
      <c r="AR212" s="87">
        <f t="shared" si="227"/>
        <v>43556</v>
      </c>
      <c r="AS212" s="23">
        <f>AS$5+SUM(AV$5:AV211)-SUM(X$5:X212)+SUM(W$5:W212)</f>
        <v>101633.88296515719</v>
      </c>
      <c r="AT212" s="22">
        <f t="shared" si="228"/>
        <v>-191.41047958437935</v>
      </c>
      <c r="AU212" s="22">
        <f>IF(AB212=1,IF(Q212="tak",AT212,PMT(M212/12,P212+1-SUM(AB$5:AB212),AS212)),0)</f>
        <v>-546.79082134452517</v>
      </c>
      <c r="AV212" s="22">
        <f t="shared" si="275"/>
        <v>-355.38034176014582</v>
      </c>
      <c r="AW212" s="22">
        <f t="shared" si="229"/>
        <v>-2070.1500496103722</v>
      </c>
      <c r="AY212" s="23">
        <f>AY$5+SUM(BA$5:BA211)+SUM(W$5:W211)-SUM(X$5:X211)</f>
        <v>88454.901437841967</v>
      </c>
      <c r="AZ212" s="23">
        <f t="shared" si="230"/>
        <v>-191.41047958437935</v>
      </c>
      <c r="BA212" s="23">
        <f t="shared" si="231"/>
        <v>-386.27</v>
      </c>
      <c r="BB212" s="23">
        <f t="shared" si="276"/>
        <v>-577.68047958437933</v>
      </c>
      <c r="BC212" s="23">
        <f t="shared" si="232"/>
        <v>-2187.0982957064602</v>
      </c>
      <c r="BE212" s="88">
        <f t="shared" si="233"/>
        <v>1.72E-2</v>
      </c>
      <c r="BF212" s="89">
        <f>BE212+Dane_kredytowe!F$12</f>
        <v>4.7199999999999999E-2</v>
      </c>
      <c r="BG212" s="23">
        <f>BG$5+SUM(BH$5:BH211)+SUM(R$5:R211)-SUM(S$5:S211)</f>
        <v>244560.02924863005</v>
      </c>
      <c r="BH212" s="22">
        <f t="shared" si="277"/>
        <v>-660.18865237774151</v>
      </c>
      <c r="BI212" s="22">
        <f t="shared" si="278"/>
        <v>-961.93611504461148</v>
      </c>
      <c r="BJ212" s="22">
        <f>IF(U212&lt;0,PMT(BF212/12,Dane_kredytowe!F$13-SUM(AB$5:AB212)+1,BG212),0)</f>
        <v>-1622.124767422353</v>
      </c>
      <c r="BL212" s="23">
        <f>BL$5+SUM(BN$5:BN211)+SUM(R$5:R211)-SUM(S$5:S211)</f>
        <v>190833.33333333352</v>
      </c>
      <c r="BM212" s="23">
        <f t="shared" si="194"/>
        <v>-750.61111111111177</v>
      </c>
      <c r="BN212" s="23">
        <f t="shared" si="234"/>
        <v>-833.33333333333417</v>
      </c>
      <c r="BO212" s="23">
        <f t="shared" si="179"/>
        <v>-1583.9444444444459</v>
      </c>
      <c r="BQ212" s="89">
        <f t="shared" si="235"/>
        <v>3.39E-2</v>
      </c>
      <c r="BR212" s="23">
        <f>BR$5+SUM(BS$5:BS211)+SUM(R$5:R211)-SUM(S$5:S211)+SUM(BV$5:BV211)</f>
        <v>279898.96706592385</v>
      </c>
      <c r="BS212" s="22">
        <f t="shared" si="249"/>
        <v>-870.90906450435193</v>
      </c>
      <c r="BT212" s="22">
        <f t="shared" si="250"/>
        <v>-790.71458196123479</v>
      </c>
      <c r="BU212" s="22">
        <f>IF(U212&lt;0,PMT(BQ212/12,Dane_kredytowe!F$13-SUM(AB$5:AB212)+1,BR212),0)</f>
        <v>-1661.6236464655867</v>
      </c>
      <c r="BV212" s="22">
        <f t="shared" si="243"/>
        <v>202.85531330205868</v>
      </c>
      <c r="BX212" s="23">
        <f>BX$5+SUM(BZ$5:BZ211)+SUM(R$5:R211)-SUM(S$5:S211)+SUM(CB$5,CB211)</f>
        <v>190615.91922503023</v>
      </c>
      <c r="BY212" s="22">
        <f t="shared" si="236"/>
        <v>-538.48997181071036</v>
      </c>
      <c r="BZ212" s="22">
        <f t="shared" si="237"/>
        <v>-832.3839267468569</v>
      </c>
      <c r="CA212" s="22">
        <f t="shared" si="251"/>
        <v>-1370.8738985575674</v>
      </c>
      <c r="CB212" s="22">
        <f t="shared" si="252"/>
        <v>-87.894434605960669</v>
      </c>
      <c r="CD212" s="22">
        <f>CD$5+SUM(CE$5:CE211)+SUM(R$5:R211)-SUM(S$5:S211)-SUM(CF$5:CF211)</f>
        <v>251507.80416543936</v>
      </c>
      <c r="CE212" s="22">
        <f t="shared" si="244"/>
        <v>538.48997181071036</v>
      </c>
      <c r="CF212" s="22">
        <f t="shared" si="238"/>
        <v>1458.768333163528</v>
      </c>
      <c r="CG212" s="22">
        <f t="shared" si="245"/>
        <v>920.27836135281768</v>
      </c>
      <c r="CI212" s="89">
        <f t="shared" si="239"/>
        <v>0.39860000000000001</v>
      </c>
      <c r="CJ212" s="22">
        <f t="shared" si="240"/>
        <v>-581.47</v>
      </c>
      <c r="CK212" s="15">
        <f t="shared" si="246"/>
        <v>0</v>
      </c>
      <c r="CM212" s="22">
        <f t="shared" si="247"/>
        <v>-185803.10502343488</v>
      </c>
      <c r="CN212" s="15">
        <f t="shared" si="253"/>
        <v>-266.31778386692332</v>
      </c>
    </row>
    <row r="213" spans="1:92">
      <c r="A213" s="25"/>
      <c r="B213" s="80">
        <v>43586</v>
      </c>
      <c r="C213" s="81">
        <f t="shared" si="217"/>
        <v>3.7978000000000001</v>
      </c>
      <c r="D213" s="82">
        <f t="shared" si="248"/>
        <v>3.911734</v>
      </c>
      <c r="E213" s="73">
        <f t="shared" si="267"/>
        <v>-374.08344825943504</v>
      </c>
      <c r="F213" s="19">
        <f t="shared" si="268"/>
        <v>-1463.3149433936728</v>
      </c>
      <c r="G213" s="19">
        <f t="shared" si="269"/>
        <v>-1179.6465179686779</v>
      </c>
      <c r="H213" s="19">
        <f t="shared" si="270"/>
        <v>283.66842542499489</v>
      </c>
      <c r="I213" s="62"/>
      <c r="K213" s="15">
        <f>IF(B213&lt;=Dane_kredytowe!F$9,0,K212+1)</f>
        <v>133</v>
      </c>
      <c r="L213" s="83">
        <f t="shared" si="218"/>
        <v>-7.4000000000000003E-3</v>
      </c>
      <c r="M213" s="84">
        <f>L213+Dane_kredytowe!F$12</f>
        <v>2.2599999999999999E-2</v>
      </c>
      <c r="N213" s="79">
        <f>MAX(Dane_kredytowe!F$17+SUM(AA$5:AA212)-SUM(X$5:X213)+SUM(W$5:W213),0)</f>
        <v>69289.040739110729</v>
      </c>
      <c r="O213" s="85">
        <f>MAX(Dane_kredytowe!F$8+SUM(V$5:V212)-SUM(S$5:S213)+SUM(R$5:R212),0)</f>
        <v>218498.24155971676</v>
      </c>
      <c r="P213" s="67">
        <f t="shared" si="180"/>
        <v>360</v>
      </c>
      <c r="Q213" s="127" t="str">
        <f>IF(AND(K213&gt;0,K213&lt;=Dane_kredytowe!F$16),"tak","nie")</f>
        <v>nie</v>
      </c>
      <c r="R213" s="69"/>
      <c r="S213" s="86">
        <f>IF(Dane_kredytowe!F$19=B213,O212+V212,_xlfn.XLOOKUP(B213,Dane_kredytowe!M$9:M$18,Dane_kredytowe!N$9:N$18,0))</f>
        <v>0</v>
      </c>
      <c r="T213" s="71">
        <f t="shared" si="219"/>
        <v>-411.50502160413316</v>
      </c>
      <c r="U213" s="72">
        <f>IF(Q213="tak",T213,IF(P213-SUM(AB$5:AB213)+1&gt;0,IF(Dane_kredytowe!F$9&lt;B213,IF(SUM(AB$5:AB213)-Dane_kredytowe!F$16+1&gt;0,PMT(M213/12,P213+1-SUM(AB$5:AB213),O213),T213),0),0))</f>
        <v>-1179.6465179686779</v>
      </c>
      <c r="V213" s="72">
        <f t="shared" si="241"/>
        <v>-768.14149636454476</v>
      </c>
      <c r="W213" s="19" t="str">
        <f t="shared" si="242"/>
        <v xml:space="preserve"> </v>
      </c>
      <c r="X213" s="19">
        <f t="shared" si="266"/>
        <v>0</v>
      </c>
      <c r="Y213" s="73">
        <f t="shared" si="220"/>
        <v>-130.49436005865854</v>
      </c>
      <c r="Z213" s="19">
        <f>IF(P213-SUM(AB$5:AB213)+1&gt;0,IF(Dane_kredytowe!F$9&lt;B213,IF(SUM(AB$5:AB213)-Dane_kredytowe!F$16+1&gt;0,PMT(M213/12,P213+1-SUM(AB$5:AB213),N213),Y213),0),0)</f>
        <v>-374.08344825943504</v>
      </c>
      <c r="AA213" s="19">
        <f t="shared" si="271"/>
        <v>-243.5890882007765</v>
      </c>
      <c r="AB213" s="20">
        <f>IF(AND(Dane_kredytowe!F$9&lt;B213,SUM(AB$5:AB212)&lt;P212),1," ")</f>
        <v>1</v>
      </c>
      <c r="AD213" s="75">
        <f>IF(OR(B213&lt;Dane_kredytowe!F$15,Dane_kredytowe!F$15=""),-F213+S213,0)</f>
        <v>0</v>
      </c>
      <c r="AE213" s="75">
        <f t="shared" si="221"/>
        <v>374.08344825943504</v>
      </c>
      <c r="AG213" s="22">
        <f>Dane_kredytowe!F$17-SUM(AI$5:AI212)+SUM(W$42:W213)-SUM(X$42:X213)</f>
        <v>60252.140000000079</v>
      </c>
      <c r="AH213" s="22">
        <f t="shared" si="222"/>
        <v>113.47</v>
      </c>
      <c r="AI213" s="22">
        <f t="shared" si="223"/>
        <v>264.26</v>
      </c>
      <c r="AJ213" s="22">
        <f t="shared" si="272"/>
        <v>377.73</v>
      </c>
      <c r="AK213" s="22">
        <f t="shared" si="224"/>
        <v>1477.58</v>
      </c>
      <c r="AL213" s="22">
        <f>Dane_kredytowe!F$8-SUM(AN$5:AN212)+SUM(R$42:R212)-SUM(S$42:S213)</f>
        <v>190000.37999999983</v>
      </c>
      <c r="AM213" s="22">
        <f t="shared" si="225"/>
        <v>357.83</v>
      </c>
      <c r="AN213" s="22">
        <f t="shared" si="226"/>
        <v>833.33</v>
      </c>
      <c r="AO213" s="22">
        <f t="shared" si="273"/>
        <v>1191.1600000000001</v>
      </c>
      <c r="AP213" s="22">
        <f t="shared" si="274"/>
        <v>286.41999999999985</v>
      </c>
      <c r="AR213" s="87">
        <f t="shared" si="227"/>
        <v>43586</v>
      </c>
      <c r="AS213" s="23">
        <f>AS$5+SUM(AV$5:AV212)-SUM(X$5:X213)+SUM(W$5:W213)</f>
        <v>101278.50262339704</v>
      </c>
      <c r="AT213" s="22">
        <f t="shared" si="228"/>
        <v>-190.74117994073109</v>
      </c>
      <c r="AU213" s="22">
        <f>IF(AB213=1,IF(Q213="tak",AT213,PMT(M213/12,P213+1-SUM(AB$5:AB213),AS213)),0)</f>
        <v>-546.79082134452494</v>
      </c>
      <c r="AV213" s="22">
        <f t="shared" si="275"/>
        <v>-356.04964140379388</v>
      </c>
      <c r="AW213" s="22">
        <f t="shared" si="229"/>
        <v>-2076.6021813022367</v>
      </c>
      <c r="AY213" s="23">
        <f>AY$5+SUM(BA$5:BA212)+SUM(W$5:W212)-SUM(X$5:X212)</f>
        <v>88068.631437841977</v>
      </c>
      <c r="AZ213" s="23">
        <f t="shared" si="230"/>
        <v>-190.74117994073109</v>
      </c>
      <c r="BA213" s="23">
        <f t="shared" si="231"/>
        <v>-386.27</v>
      </c>
      <c r="BB213" s="23">
        <f t="shared" si="276"/>
        <v>-577.01117994073104</v>
      </c>
      <c r="BC213" s="23">
        <f t="shared" si="232"/>
        <v>-2191.3730591789085</v>
      </c>
      <c r="BE213" s="88">
        <f t="shared" si="233"/>
        <v>1.72E-2</v>
      </c>
      <c r="BF213" s="89">
        <f>BE213+Dane_kredytowe!F$12</f>
        <v>4.7199999999999999E-2</v>
      </c>
      <c r="BG213" s="23">
        <f>BG$5+SUM(BH$5:BH212)+SUM(R$5:R212)-SUM(S$5:S212)</f>
        <v>243899.84059625232</v>
      </c>
      <c r="BH213" s="22">
        <f t="shared" si="277"/>
        <v>-662.7853944104271</v>
      </c>
      <c r="BI213" s="22">
        <f t="shared" si="278"/>
        <v>-959.33937301192589</v>
      </c>
      <c r="BJ213" s="22">
        <f>IF(U213&lt;0,PMT(BF213/12,Dane_kredytowe!F$13-SUM(AB$5:AB213)+1,BG213),0)</f>
        <v>-1622.124767422353</v>
      </c>
      <c r="BL213" s="23">
        <f>BL$5+SUM(BN$5:BN212)+SUM(R$5:R212)-SUM(S$5:S212)</f>
        <v>190000.00000000017</v>
      </c>
      <c r="BM213" s="23">
        <f t="shared" si="194"/>
        <v>-747.33333333333394</v>
      </c>
      <c r="BN213" s="23">
        <f t="shared" si="234"/>
        <v>-833.33333333333405</v>
      </c>
      <c r="BO213" s="23">
        <f t="shared" si="179"/>
        <v>-1580.6666666666679</v>
      </c>
      <c r="BQ213" s="89">
        <f t="shared" si="235"/>
        <v>3.39E-2</v>
      </c>
      <c r="BR213" s="23">
        <f>BR$5+SUM(BS$5:BS212)+SUM(R$5:R212)-SUM(S$5:S212)+SUM(BV$5:BV212)</f>
        <v>279230.91331472155</v>
      </c>
      <c r="BS213" s="22">
        <f t="shared" si="249"/>
        <v>-874.00432814718772</v>
      </c>
      <c r="BT213" s="22">
        <f t="shared" si="250"/>
        <v>-788.82733011408834</v>
      </c>
      <c r="BU213" s="22">
        <f>IF(U213&lt;0,PMT(BQ213/12,Dane_kredytowe!F$13-SUM(AB$5:AB213)+1,BR213),0)</f>
        <v>-1662.8316582612761</v>
      </c>
      <c r="BV213" s="22">
        <f t="shared" si="243"/>
        <v>199.51671486760324</v>
      </c>
      <c r="BX213" s="23">
        <f>BX$5+SUM(BZ$5:BZ212)+SUM(R$5:R212)-SUM(S$5:S212)+SUM(CB$5,CB212)</f>
        <v>189787.28101622435</v>
      </c>
      <c r="BY213" s="22">
        <f t="shared" si="236"/>
        <v>-536.14906887083373</v>
      </c>
      <c r="BZ213" s="22">
        <f t="shared" si="237"/>
        <v>-832.4003553343174</v>
      </c>
      <c r="CA213" s="22">
        <f t="shared" si="251"/>
        <v>-1368.5494242051511</v>
      </c>
      <c r="CB213" s="22">
        <f t="shared" si="252"/>
        <v>-94.765519188521694</v>
      </c>
      <c r="CD213" s="22">
        <f>CD$5+SUM(CE$5:CE212)+SUM(R$5:R212)-SUM(S$5:S212)-SUM(CF$5:CF212)</f>
        <v>250587.52580408656</v>
      </c>
      <c r="CE213" s="22">
        <f t="shared" si="244"/>
        <v>536.14906887083373</v>
      </c>
      <c r="CF213" s="22">
        <f t="shared" si="238"/>
        <v>1463.3149433936728</v>
      </c>
      <c r="CG213" s="22">
        <f t="shared" si="245"/>
        <v>927.16587452283909</v>
      </c>
      <c r="CI213" s="89">
        <f t="shared" si="239"/>
        <v>0.39579999999999999</v>
      </c>
      <c r="CJ213" s="22">
        <f t="shared" si="240"/>
        <v>-579.17999999999995</v>
      </c>
      <c r="CK213" s="15">
        <f t="shared" si="246"/>
        <v>0</v>
      </c>
      <c r="CM213" s="22">
        <f t="shared" si="247"/>
        <v>-187266.41996682854</v>
      </c>
      <c r="CN213" s="15">
        <f t="shared" si="253"/>
        <v>-268.41520195245425</v>
      </c>
    </row>
    <row r="214" spans="1:92">
      <c r="A214" s="25"/>
      <c r="B214" s="80">
        <v>43617</v>
      </c>
      <c r="C214" s="81">
        <f t="shared" si="217"/>
        <v>3.82</v>
      </c>
      <c r="D214" s="82">
        <f t="shared" si="248"/>
        <v>3.9346000000000001</v>
      </c>
      <c r="E214" s="73">
        <f t="shared" si="267"/>
        <v>-374.0834482594351</v>
      </c>
      <c r="F214" s="19">
        <f t="shared" si="268"/>
        <v>-1471.8687355215734</v>
      </c>
      <c r="G214" s="19">
        <f t="shared" si="269"/>
        <v>-1179.6465179686782</v>
      </c>
      <c r="H214" s="19">
        <f t="shared" si="270"/>
        <v>292.22221755289524</v>
      </c>
      <c r="I214" s="62"/>
      <c r="K214" s="15">
        <f>IF(B214&lt;=Dane_kredytowe!F$9,0,K213+1)</f>
        <v>134</v>
      </c>
      <c r="L214" s="83">
        <f t="shared" si="218"/>
        <v>-7.4000000000000003E-3</v>
      </c>
      <c r="M214" s="84">
        <f>L214+Dane_kredytowe!F$12</f>
        <v>2.2599999999999999E-2</v>
      </c>
      <c r="N214" s="79">
        <f>MAX(Dane_kredytowe!F$17+SUM(AA$5:AA213)-SUM(X$5:X214)+SUM(W$5:W214),0)</f>
        <v>69045.451650909949</v>
      </c>
      <c r="O214" s="85">
        <f>MAX(Dane_kredytowe!F$8+SUM(V$5:V213)-SUM(S$5:S214)+SUM(R$5:R213),0)</f>
        <v>217730.10006335221</v>
      </c>
      <c r="P214" s="67">
        <f t="shared" si="180"/>
        <v>360</v>
      </c>
      <c r="Q214" s="127" t="str">
        <f>IF(AND(K214&gt;0,K214&lt;=Dane_kredytowe!F$16),"tak","nie")</f>
        <v>nie</v>
      </c>
      <c r="R214" s="69"/>
      <c r="S214" s="86">
        <f>IF(Dane_kredytowe!F$19=B214,O213+V213,_xlfn.XLOOKUP(B214,Dane_kredytowe!M$9:M$18,Dane_kredytowe!N$9:N$18,0))</f>
        <v>0</v>
      </c>
      <c r="T214" s="71">
        <f t="shared" si="219"/>
        <v>-410.05835511931332</v>
      </c>
      <c r="U214" s="72">
        <f>IF(Q214="tak",T214,IF(P214-SUM(AB$5:AB214)+1&gt;0,IF(Dane_kredytowe!F$9&lt;B214,IF(SUM(AB$5:AB214)-Dane_kredytowe!F$16+1&gt;0,PMT(M214/12,P214+1-SUM(AB$5:AB214),O214),T214),0),0))</f>
        <v>-1179.6465179686782</v>
      </c>
      <c r="V214" s="72">
        <f t="shared" si="241"/>
        <v>-769.58816284936483</v>
      </c>
      <c r="W214" s="19" t="str">
        <f t="shared" si="242"/>
        <v xml:space="preserve"> </v>
      </c>
      <c r="X214" s="19">
        <f t="shared" si="266"/>
        <v>0</v>
      </c>
      <c r="Y214" s="73">
        <f t="shared" si="220"/>
        <v>-130.03560060921373</v>
      </c>
      <c r="Z214" s="19">
        <f>IF(P214-SUM(AB$5:AB214)+1&gt;0,IF(Dane_kredytowe!F$9&lt;B214,IF(SUM(AB$5:AB214)-Dane_kredytowe!F$16+1&gt;0,PMT(M214/12,P214+1-SUM(AB$5:AB214),N214),Y214),0),0)</f>
        <v>-374.0834482594351</v>
      </c>
      <c r="AA214" s="19">
        <f t="shared" si="271"/>
        <v>-244.04784765022137</v>
      </c>
      <c r="AB214" s="20">
        <f>IF(AND(Dane_kredytowe!F$9&lt;B214,SUM(AB$5:AB213)&lt;P213),1," ")</f>
        <v>1</v>
      </c>
      <c r="AD214" s="75">
        <f>IF(OR(B214&lt;Dane_kredytowe!F$15,Dane_kredytowe!F$15=""),-F214+S214,0)</f>
        <v>0</v>
      </c>
      <c r="AE214" s="75">
        <f t="shared" si="221"/>
        <v>374.0834482594351</v>
      </c>
      <c r="AG214" s="22">
        <f>Dane_kredytowe!F$17-SUM(AI$5:AI213)+SUM(W$42:W214)-SUM(X$42:X214)</f>
        <v>59987.880000000077</v>
      </c>
      <c r="AH214" s="22">
        <f t="shared" si="222"/>
        <v>112.98</v>
      </c>
      <c r="AI214" s="22">
        <f t="shared" si="223"/>
        <v>264.26</v>
      </c>
      <c r="AJ214" s="22">
        <f t="shared" si="272"/>
        <v>377.24</v>
      </c>
      <c r="AK214" s="22">
        <f t="shared" si="224"/>
        <v>1484.29</v>
      </c>
      <c r="AL214" s="22">
        <f>Dane_kredytowe!F$8-SUM(AN$5:AN213)+SUM(R$42:R213)-SUM(S$42:S214)</f>
        <v>189167.04999999984</v>
      </c>
      <c r="AM214" s="22">
        <f t="shared" si="225"/>
        <v>356.26</v>
      </c>
      <c r="AN214" s="22">
        <f t="shared" si="226"/>
        <v>833.34</v>
      </c>
      <c r="AO214" s="22">
        <f t="shared" si="273"/>
        <v>1189.5999999999999</v>
      </c>
      <c r="AP214" s="22">
        <f t="shared" si="274"/>
        <v>294.69000000000005</v>
      </c>
      <c r="AR214" s="87">
        <f t="shared" si="227"/>
        <v>43617</v>
      </c>
      <c r="AS214" s="23">
        <f>AS$5+SUM(AV$5:AV213)-SUM(X$5:X214)+SUM(W$5:W214)</f>
        <v>100922.45298199326</v>
      </c>
      <c r="AT214" s="22">
        <f t="shared" si="228"/>
        <v>-190.07061978275397</v>
      </c>
      <c r="AU214" s="22">
        <f>IF(AB214=1,IF(Q214="tak",AT214,PMT(M214/12,P214+1-SUM(AB$5:AB214),AS214)),0)</f>
        <v>-546.79082134452517</v>
      </c>
      <c r="AV214" s="22">
        <f t="shared" si="275"/>
        <v>-356.7202015617712</v>
      </c>
      <c r="AW214" s="22">
        <f t="shared" si="229"/>
        <v>-2088.7409375360862</v>
      </c>
      <c r="AY214" s="23">
        <f>AY$5+SUM(BA$5:BA213)+SUM(W$5:W213)-SUM(X$5:X213)</f>
        <v>87682.361437841973</v>
      </c>
      <c r="AZ214" s="23">
        <f t="shared" si="230"/>
        <v>-190.07061978275397</v>
      </c>
      <c r="BA214" s="23">
        <f t="shared" si="231"/>
        <v>-386.27</v>
      </c>
      <c r="BB214" s="23">
        <f t="shared" si="276"/>
        <v>-576.34061978275395</v>
      </c>
      <c r="BC214" s="23">
        <f t="shared" si="232"/>
        <v>-2201.6211675701202</v>
      </c>
      <c r="BE214" s="88">
        <f t="shared" si="233"/>
        <v>1.72E-2</v>
      </c>
      <c r="BF214" s="89">
        <f>BE214+Dane_kredytowe!F$12</f>
        <v>4.7199999999999999E-2</v>
      </c>
      <c r="BG214" s="23">
        <f>BG$5+SUM(BH$5:BH213)+SUM(R$5:R213)-SUM(S$5:S213)</f>
        <v>243237.0552018419</v>
      </c>
      <c r="BH214" s="22">
        <f t="shared" si="277"/>
        <v>-665.39235029510792</v>
      </c>
      <c r="BI214" s="22">
        <f t="shared" si="278"/>
        <v>-956.73241712724484</v>
      </c>
      <c r="BJ214" s="22">
        <f>IF(U214&lt;0,PMT(BF214/12,Dane_kredytowe!F$13-SUM(AB$5:AB214)+1,BG214),0)</f>
        <v>-1622.1247674223528</v>
      </c>
      <c r="BL214" s="23">
        <f>BL$5+SUM(BN$5:BN213)+SUM(R$5:R213)-SUM(S$5:S213)</f>
        <v>189166.66666666686</v>
      </c>
      <c r="BM214" s="23">
        <f t="shared" si="194"/>
        <v>-744.05555555555623</v>
      </c>
      <c r="BN214" s="23">
        <f t="shared" si="234"/>
        <v>-833.33333333333417</v>
      </c>
      <c r="BO214" s="23">
        <f t="shared" si="179"/>
        <v>-1577.3888888888905</v>
      </c>
      <c r="BQ214" s="89">
        <f t="shared" si="235"/>
        <v>3.39E-2</v>
      </c>
      <c r="BR214" s="23">
        <f>BR$5+SUM(BS$5:BS213)+SUM(R$5:R213)-SUM(S$5:S213)+SUM(BV$5:BV213)</f>
        <v>278556.42570144194</v>
      </c>
      <c r="BS214" s="22">
        <f t="shared" si="249"/>
        <v>-877.10161653231421</v>
      </c>
      <c r="BT214" s="22">
        <f t="shared" si="250"/>
        <v>-786.92190260657344</v>
      </c>
      <c r="BU214" s="22">
        <f>IF(U214&lt;0,PMT(BQ214/12,Dane_kredytowe!F$13-SUM(AB$5:AB214)+1,BR214),0)</f>
        <v>-1664.0235191388877</v>
      </c>
      <c r="BV214" s="22">
        <f t="shared" si="243"/>
        <v>192.15478361731425</v>
      </c>
      <c r="BX214" s="23">
        <f>BX$5+SUM(BZ$5:BZ213)+SUM(R$5:R213)-SUM(S$5:S213)+SUM(CB$5,CB213)</f>
        <v>188948.00957630746</v>
      </c>
      <c r="BY214" s="22">
        <f t="shared" si="236"/>
        <v>-533.7781270530686</v>
      </c>
      <c r="BZ214" s="22">
        <f t="shared" si="237"/>
        <v>-832.37008623923998</v>
      </c>
      <c r="CA214" s="22">
        <f t="shared" si="251"/>
        <v>-1366.1482132923086</v>
      </c>
      <c r="CB214" s="22">
        <f t="shared" si="252"/>
        <v>-105.72052222926482</v>
      </c>
      <c r="CD214" s="22">
        <f>CD$5+SUM(CE$5:CE213)+SUM(R$5:R213)-SUM(S$5:S213)-SUM(CF$5:CF213)</f>
        <v>249660.35992956377</v>
      </c>
      <c r="CE214" s="22">
        <f t="shared" si="244"/>
        <v>533.7781270530686</v>
      </c>
      <c r="CF214" s="22">
        <f t="shared" si="238"/>
        <v>1471.8687355215734</v>
      </c>
      <c r="CG214" s="22">
        <f t="shared" si="245"/>
        <v>938.0906084685048</v>
      </c>
      <c r="CI214" s="89">
        <f t="shared" si="239"/>
        <v>0.3916</v>
      </c>
      <c r="CJ214" s="22">
        <f t="shared" si="240"/>
        <v>-576.38</v>
      </c>
      <c r="CK214" s="15">
        <f t="shared" si="246"/>
        <v>0</v>
      </c>
      <c r="CM214" s="22">
        <f t="shared" si="247"/>
        <v>-188738.28870235011</v>
      </c>
      <c r="CN214" s="15">
        <f t="shared" si="253"/>
        <v>-270.52488047336846</v>
      </c>
    </row>
    <row r="215" spans="1:92">
      <c r="A215" s="25"/>
      <c r="B215" s="80">
        <v>43647</v>
      </c>
      <c r="C215" s="81">
        <f t="shared" si="217"/>
        <v>3.8441999999999998</v>
      </c>
      <c r="D215" s="82">
        <f t="shared" si="248"/>
        <v>3.9595259999999999</v>
      </c>
      <c r="E215" s="73">
        <f t="shared" ref="E215:E220" si="279">Z215</f>
        <v>-374.08344825943499</v>
      </c>
      <c r="F215" s="19">
        <f t="shared" ref="F215:F220" si="280">E215*D215</f>
        <v>-1481.1931395528875</v>
      </c>
      <c r="G215" s="19">
        <f t="shared" ref="G215:G220" si="281">U215</f>
        <v>-1179.6465179686779</v>
      </c>
      <c r="H215" s="19">
        <f t="shared" ref="H215:H220" si="282">G215-F215</f>
        <v>301.54662158420956</v>
      </c>
      <c r="I215" s="62"/>
      <c r="K215" s="15">
        <f>IF(B215&lt;=Dane_kredytowe!F$9,0,K214+1)</f>
        <v>135</v>
      </c>
      <c r="L215" s="83">
        <f t="shared" si="218"/>
        <v>-7.4000000000000003E-3</v>
      </c>
      <c r="M215" s="84">
        <f>L215+Dane_kredytowe!F$12</f>
        <v>2.2599999999999999E-2</v>
      </c>
      <c r="N215" s="79">
        <f>MAX(Dane_kredytowe!F$17+SUM(AA$5:AA214)-SUM(X$5:X215)+SUM(W$5:W215),0)</f>
        <v>68801.403803259716</v>
      </c>
      <c r="O215" s="85">
        <f>MAX(Dane_kredytowe!F$8+SUM(V$5:V214)-SUM(S$5:S215)+SUM(R$5:R214),0)</f>
        <v>216960.51190050284</v>
      </c>
      <c r="P215" s="67">
        <f t="shared" si="180"/>
        <v>360</v>
      </c>
      <c r="Q215" s="127" t="str">
        <f>IF(AND(K215&gt;0,K215&lt;=Dane_kredytowe!F$16),"tak","nie")</f>
        <v>nie</v>
      </c>
      <c r="R215" s="69"/>
      <c r="S215" s="86">
        <f>IF(Dane_kredytowe!F$19=B215,O214+V214,_xlfn.XLOOKUP(B215,Dane_kredytowe!M$9:M$18,Dane_kredytowe!N$9:N$18,0))</f>
        <v>0</v>
      </c>
      <c r="T215" s="71">
        <f t="shared" si="219"/>
        <v>-408.60896407928027</v>
      </c>
      <c r="U215" s="72">
        <f>IF(Q215="tak",T215,IF(P215-SUM(AB$5:AB215)+1&gt;0,IF(Dane_kredytowe!F$9&lt;B215,IF(SUM(AB$5:AB215)-Dane_kredytowe!F$16+1&gt;0,PMT(M215/12,P215+1-SUM(AB$5:AB215),O215),T215),0),0))</f>
        <v>-1179.6465179686779</v>
      </c>
      <c r="V215" s="72">
        <f t="shared" si="241"/>
        <v>-771.03755388939771</v>
      </c>
      <c r="W215" s="19" t="str">
        <f t="shared" si="242"/>
        <v xml:space="preserve"> </v>
      </c>
      <c r="X215" s="19">
        <f t="shared" si="266"/>
        <v>0</v>
      </c>
      <c r="Y215" s="73">
        <f t="shared" si="220"/>
        <v>-129.5759771628058</v>
      </c>
      <c r="Z215" s="19">
        <f>IF(P215-SUM(AB$5:AB215)+1&gt;0,IF(Dane_kredytowe!F$9&lt;B215,IF(SUM(AB$5:AB215)-Dane_kredytowe!F$16+1&gt;0,PMT(M215/12,P215+1-SUM(AB$5:AB215),N215),Y215),0),0)</f>
        <v>-374.08344825943499</v>
      </c>
      <c r="AA215" s="19">
        <f t="shared" ref="AA215:AA220" si="283">Z215-Y215</f>
        <v>-244.50747109662919</v>
      </c>
      <c r="AB215" s="20">
        <f>IF(AND(Dane_kredytowe!F$9&lt;B215,SUM(AB$5:AB214)&lt;P214),1," ")</f>
        <v>1</v>
      </c>
      <c r="AD215" s="75">
        <f>IF(OR(B215&lt;Dane_kredytowe!F$15,Dane_kredytowe!F$15=""),-F215+S215,0)</f>
        <v>0</v>
      </c>
      <c r="AE215" s="75">
        <f t="shared" si="221"/>
        <v>374.08344825943499</v>
      </c>
      <c r="AG215" s="22">
        <f>Dane_kredytowe!F$17-SUM(AI$5:AI214)+SUM(W$42:W215)-SUM(X$42:X215)</f>
        <v>59723.620000000075</v>
      </c>
      <c r="AH215" s="22">
        <f t="shared" si="222"/>
        <v>112.48</v>
      </c>
      <c r="AI215" s="22">
        <f t="shared" si="223"/>
        <v>264.26</v>
      </c>
      <c r="AJ215" s="22">
        <f t="shared" ref="AJ215:AJ220" si="284">AI215+AH215</f>
        <v>376.74</v>
      </c>
      <c r="AK215" s="22">
        <f t="shared" si="224"/>
        <v>1491.71</v>
      </c>
      <c r="AL215" s="22">
        <f>Dane_kredytowe!F$8-SUM(AN$5:AN214)+SUM(R$42:R214)-SUM(S$42:S215)</f>
        <v>188333.70999999985</v>
      </c>
      <c r="AM215" s="22">
        <f t="shared" si="225"/>
        <v>354.7</v>
      </c>
      <c r="AN215" s="22">
        <f t="shared" si="226"/>
        <v>833.33</v>
      </c>
      <c r="AO215" s="22">
        <f t="shared" ref="AO215:AO220" si="285">AN215+AM215</f>
        <v>1188.03</v>
      </c>
      <c r="AP215" s="22">
        <f t="shared" ref="AP215:AP220" si="286">AK215-AO215</f>
        <v>303.68000000000006</v>
      </c>
      <c r="AR215" s="87">
        <f t="shared" si="227"/>
        <v>43647</v>
      </c>
      <c r="AS215" s="23">
        <f>AS$5+SUM(AV$5:AV214)-SUM(X$5:X215)+SUM(W$5:W215)</f>
        <v>100565.73278043148</v>
      </c>
      <c r="AT215" s="22">
        <f t="shared" si="228"/>
        <v>-189.39879673647928</v>
      </c>
      <c r="AU215" s="22">
        <f>IF(AB215=1,IF(Q215="tak",AT215,PMT(M215/12,P215+1-SUM(AB$5:AB215),AS215)),0)</f>
        <v>-546.79082134452506</v>
      </c>
      <c r="AV215" s="22">
        <f t="shared" ref="AV215:AV220" si="287">AU215-AT215</f>
        <v>-357.39202460804574</v>
      </c>
      <c r="AW215" s="22">
        <f t="shared" si="229"/>
        <v>-2101.973275412623</v>
      </c>
      <c r="AY215" s="23">
        <f>AY$5+SUM(BA$5:BA214)+SUM(W$5:W214)-SUM(X$5:X214)</f>
        <v>87296.091437841969</v>
      </c>
      <c r="AZ215" s="23">
        <f t="shared" si="230"/>
        <v>-189.39879673647928</v>
      </c>
      <c r="BA215" s="23">
        <f t="shared" si="231"/>
        <v>-386.27</v>
      </c>
      <c r="BB215" s="23">
        <f t="shared" ref="BB215:BB220" si="288">BA215+AZ215</f>
        <v>-575.66879673647929</v>
      </c>
      <c r="BC215" s="23">
        <f t="shared" si="232"/>
        <v>-2212.9859884143734</v>
      </c>
      <c r="BE215" s="88">
        <f t="shared" si="233"/>
        <v>1.72E-2</v>
      </c>
      <c r="BF215" s="89">
        <f>BE215+Dane_kredytowe!F$12</f>
        <v>4.7199999999999999E-2</v>
      </c>
      <c r="BG215" s="23">
        <f>BG$5+SUM(BH$5:BH214)+SUM(R$5:R214)-SUM(S$5:S214)</f>
        <v>242571.66285154677</v>
      </c>
      <c r="BH215" s="22">
        <f t="shared" ref="BH215:BH220" si="289">IF(BJ215&lt;0,BJ215-BI215,0)</f>
        <v>-668.00956020626904</v>
      </c>
      <c r="BI215" s="22">
        <f t="shared" ref="BI215:BI220" si="290">IF(BJ215&lt;0,-BG215*BF215/12,0)</f>
        <v>-954.11520721608395</v>
      </c>
      <c r="BJ215" s="22">
        <f>IF(U215&lt;0,PMT(BF215/12,Dane_kredytowe!F$13-SUM(AB$5:AB215)+1,BG215),0)</f>
        <v>-1622.124767422353</v>
      </c>
      <c r="BL215" s="23">
        <f>BL$5+SUM(BN$5:BN214)+SUM(R$5:R214)-SUM(S$5:S214)</f>
        <v>188333.33333333355</v>
      </c>
      <c r="BM215" s="23">
        <f t="shared" si="194"/>
        <v>-740.77777777777862</v>
      </c>
      <c r="BN215" s="23">
        <f t="shared" si="234"/>
        <v>-833.33333333333428</v>
      </c>
      <c r="BO215" s="23">
        <f t="shared" si="179"/>
        <v>-1574.1111111111129</v>
      </c>
      <c r="BQ215" s="89">
        <f t="shared" si="235"/>
        <v>3.39E-2</v>
      </c>
      <c r="BR215" s="23">
        <f>BR$5+SUM(BS$5:BS214)+SUM(R$5:R214)-SUM(S$5:S214)+SUM(BV$5:BV214)</f>
        <v>277871.47886852699</v>
      </c>
      <c r="BS215" s="22">
        <f t="shared" si="249"/>
        <v>-880.18809975353668</v>
      </c>
      <c r="BT215" s="22">
        <f t="shared" si="250"/>
        <v>-784.98692780358863</v>
      </c>
      <c r="BU215" s="22">
        <f>IF(U215&lt;0,PMT(BQ215/12,Dane_kredytowe!F$13-SUM(AB$5:AB215)+1,BR215),0)</f>
        <v>-1665.1750275571253</v>
      </c>
      <c r="BV215" s="22">
        <f t="shared" si="243"/>
        <v>183.98188800423782</v>
      </c>
      <c r="BX215" s="23">
        <f>BX$5+SUM(BZ$5:BZ214)+SUM(R$5:R214)-SUM(S$5:S214)+SUM(CB$5,CB214)</f>
        <v>188104.68448702747</v>
      </c>
      <c r="BY215" s="22">
        <f t="shared" si="236"/>
        <v>-531.39573367585251</v>
      </c>
      <c r="BZ215" s="22">
        <f t="shared" si="237"/>
        <v>-832.32161277445778</v>
      </c>
      <c r="CA215" s="22">
        <f t="shared" si="251"/>
        <v>-1363.7173464503103</v>
      </c>
      <c r="CB215" s="22">
        <f t="shared" si="252"/>
        <v>-117.4757931025772</v>
      </c>
      <c r="CD215" s="22">
        <f>CD$5+SUM(CE$5:CE214)+SUM(R$5:R214)-SUM(S$5:S214)-SUM(CF$5:CF214)</f>
        <v>248722.26932109526</v>
      </c>
      <c r="CE215" s="22">
        <f t="shared" si="244"/>
        <v>531.39573367585251</v>
      </c>
      <c r="CF215" s="22">
        <f t="shared" si="238"/>
        <v>1481.1931395528875</v>
      </c>
      <c r="CG215" s="22">
        <f t="shared" si="245"/>
        <v>949.79740587703498</v>
      </c>
      <c r="CI215" s="89">
        <f t="shared" si="239"/>
        <v>0.3916</v>
      </c>
      <c r="CJ215" s="22">
        <f t="shared" si="240"/>
        <v>-580.04</v>
      </c>
      <c r="CK215" s="15">
        <f t="shared" si="246"/>
        <v>0</v>
      </c>
      <c r="CM215" s="22">
        <f t="shared" si="247"/>
        <v>-190219.48184190301</v>
      </c>
      <c r="CN215" s="15">
        <f t="shared" si="253"/>
        <v>-272.64792397339431</v>
      </c>
    </row>
    <row r="216" spans="1:92">
      <c r="A216" s="25"/>
      <c r="B216" s="80">
        <v>43678</v>
      </c>
      <c r="C216" s="81">
        <f t="shared" si="217"/>
        <v>3.9843999999999999</v>
      </c>
      <c r="D216" s="82">
        <f t="shared" si="248"/>
        <v>4.1039320000000004</v>
      </c>
      <c r="E216" s="73">
        <f t="shared" si="279"/>
        <v>-374.08344825943504</v>
      </c>
      <c r="F216" s="19">
        <f t="shared" si="280"/>
        <v>-1535.2130339822399</v>
      </c>
      <c r="G216" s="19">
        <f t="shared" si="281"/>
        <v>-1179.6465179686779</v>
      </c>
      <c r="H216" s="19">
        <f t="shared" si="282"/>
        <v>355.56651601356202</v>
      </c>
      <c r="I216" s="62"/>
      <c r="K216" s="15">
        <f>IF(B216&lt;=Dane_kredytowe!F$9,0,K215+1)</f>
        <v>136</v>
      </c>
      <c r="L216" s="83">
        <f t="shared" si="218"/>
        <v>-7.4000000000000003E-3</v>
      </c>
      <c r="M216" s="84">
        <f>L216+Dane_kredytowe!F$12</f>
        <v>2.2599999999999999E-2</v>
      </c>
      <c r="N216" s="79">
        <f>MAX(Dane_kredytowe!F$17+SUM(AA$5:AA215)-SUM(X$5:X216)+SUM(W$5:W216),0)</f>
        <v>68556.896332163102</v>
      </c>
      <c r="O216" s="85">
        <f>MAX(Dane_kredytowe!F$8+SUM(V$5:V215)-SUM(S$5:S216)+SUM(R$5:R215),0)</f>
        <v>216189.47434661345</v>
      </c>
      <c r="P216" s="67">
        <f t="shared" si="180"/>
        <v>360</v>
      </c>
      <c r="Q216" s="127" t="str">
        <f>IF(AND(K216&gt;0,K216&lt;=Dane_kredytowe!F$16),"tak","nie")</f>
        <v>nie</v>
      </c>
      <c r="R216" s="69"/>
      <c r="S216" s="86">
        <f>IF(Dane_kredytowe!F$19=B216,O215+V215,_xlfn.XLOOKUP(B216,Dane_kredytowe!M$9:M$18,Dane_kredytowe!N$9:N$18,0))</f>
        <v>0</v>
      </c>
      <c r="T216" s="71">
        <f t="shared" si="219"/>
        <v>-407.15684335278866</v>
      </c>
      <c r="U216" s="72">
        <f>IF(Q216="tak",T216,IF(P216-SUM(AB$5:AB216)+1&gt;0,IF(Dane_kredytowe!F$9&lt;B216,IF(SUM(AB$5:AB216)-Dane_kredytowe!F$16+1&gt;0,PMT(M216/12,P216+1-SUM(AB$5:AB216),O216),T216),0),0))</f>
        <v>-1179.6465179686779</v>
      </c>
      <c r="V216" s="72">
        <f t="shared" si="241"/>
        <v>-772.48967461588927</v>
      </c>
      <c r="W216" s="19" t="str">
        <f t="shared" si="242"/>
        <v xml:space="preserve"> </v>
      </c>
      <c r="X216" s="19">
        <f t="shared" si="266"/>
        <v>0</v>
      </c>
      <c r="Y216" s="73">
        <f t="shared" si="220"/>
        <v>-129.1154880922405</v>
      </c>
      <c r="Z216" s="19">
        <f>IF(P216-SUM(AB$5:AB216)+1&gt;0,IF(Dane_kredytowe!F$9&lt;B216,IF(SUM(AB$5:AB216)-Dane_kredytowe!F$16+1&gt;0,PMT(M216/12,P216+1-SUM(AB$5:AB216),N216),Y216),0),0)</f>
        <v>-374.08344825943504</v>
      </c>
      <c r="AA216" s="19">
        <f t="shared" si="283"/>
        <v>-244.96796016719455</v>
      </c>
      <c r="AB216" s="20">
        <f>IF(AND(Dane_kredytowe!F$9&lt;B216,SUM(AB$5:AB215)&lt;P215),1," ")</f>
        <v>1</v>
      </c>
      <c r="AD216" s="75">
        <f>IF(OR(B216&lt;Dane_kredytowe!F$15,Dane_kredytowe!F$15=""),-F216+S216,0)</f>
        <v>0</v>
      </c>
      <c r="AE216" s="75">
        <f t="shared" si="221"/>
        <v>374.08344825943504</v>
      </c>
      <c r="AG216" s="22">
        <f>Dane_kredytowe!F$17-SUM(AI$5:AI215)+SUM(W$42:W216)-SUM(X$42:X216)</f>
        <v>59459.360000000073</v>
      </c>
      <c r="AH216" s="22">
        <f t="shared" si="222"/>
        <v>111.98</v>
      </c>
      <c r="AI216" s="22">
        <f t="shared" si="223"/>
        <v>264.26</v>
      </c>
      <c r="AJ216" s="22">
        <f t="shared" si="284"/>
        <v>376.24</v>
      </c>
      <c r="AK216" s="22">
        <f t="shared" si="224"/>
        <v>1544.06</v>
      </c>
      <c r="AL216" s="22">
        <f>Dane_kredytowe!F$8-SUM(AN$5:AN215)+SUM(R$42:R215)-SUM(S$42:S216)</f>
        <v>187500.37999999983</v>
      </c>
      <c r="AM216" s="22">
        <f t="shared" si="225"/>
        <v>353.13</v>
      </c>
      <c r="AN216" s="22">
        <f t="shared" si="226"/>
        <v>833.34</v>
      </c>
      <c r="AO216" s="22">
        <f t="shared" si="285"/>
        <v>1186.47</v>
      </c>
      <c r="AP216" s="22">
        <f t="shared" si="286"/>
        <v>357.58999999999992</v>
      </c>
      <c r="AR216" s="87">
        <f t="shared" si="227"/>
        <v>43678</v>
      </c>
      <c r="AS216" s="23">
        <f>AS$5+SUM(AV$5:AV215)-SUM(X$5:X216)+SUM(W$5:W216)</f>
        <v>100208.34075582345</v>
      </c>
      <c r="AT216" s="22">
        <f t="shared" si="228"/>
        <v>-188.72570842346749</v>
      </c>
      <c r="AU216" s="22">
        <f>IF(AB216=1,IF(Q216="tak",AT216,PMT(M216/12,P216+1-SUM(AB$5:AB216),AS216)),0)</f>
        <v>-546.79082134452506</v>
      </c>
      <c r="AV216" s="22">
        <f t="shared" si="287"/>
        <v>-358.06511292105756</v>
      </c>
      <c r="AW216" s="22">
        <f t="shared" si="229"/>
        <v>-2178.6333485651257</v>
      </c>
      <c r="AY216" s="23">
        <f>AY$5+SUM(BA$5:BA215)+SUM(W$5:W215)-SUM(X$5:X215)</f>
        <v>86909.82143784198</v>
      </c>
      <c r="AZ216" s="23">
        <f t="shared" si="230"/>
        <v>-188.72570842346749</v>
      </c>
      <c r="BA216" s="23">
        <f t="shared" si="231"/>
        <v>-386.27</v>
      </c>
      <c r="BB216" s="23">
        <f t="shared" si="288"/>
        <v>-574.99570842346748</v>
      </c>
      <c r="BC216" s="23">
        <f t="shared" si="232"/>
        <v>-2291.0129006424636</v>
      </c>
      <c r="BE216" s="88">
        <f t="shared" si="233"/>
        <v>1.72E-2</v>
      </c>
      <c r="BF216" s="89">
        <f>BE216+Dane_kredytowe!F$12</f>
        <v>4.7199999999999999E-2</v>
      </c>
      <c r="BG216" s="23">
        <f>BG$5+SUM(BH$5:BH215)+SUM(R$5:R215)-SUM(S$5:S215)</f>
        <v>241903.65329134051</v>
      </c>
      <c r="BH216" s="22">
        <f t="shared" si="289"/>
        <v>-670.63706447641391</v>
      </c>
      <c r="BI216" s="22">
        <f t="shared" si="290"/>
        <v>-951.4877029459393</v>
      </c>
      <c r="BJ216" s="22">
        <f>IF(U216&lt;0,PMT(BF216/12,Dane_kredytowe!F$13-SUM(AB$5:AB216)+1,BG216),0)</f>
        <v>-1622.1247674223532</v>
      </c>
      <c r="BL216" s="23">
        <f>BL$5+SUM(BN$5:BN215)+SUM(R$5:R215)-SUM(S$5:S215)</f>
        <v>187500.0000000002</v>
      </c>
      <c r="BM216" s="23">
        <f t="shared" si="194"/>
        <v>-737.5000000000008</v>
      </c>
      <c r="BN216" s="23">
        <f t="shared" si="234"/>
        <v>-833.33333333333428</v>
      </c>
      <c r="BO216" s="23">
        <f t="shared" si="179"/>
        <v>-1570.8333333333351</v>
      </c>
      <c r="BQ216" s="89">
        <f t="shared" si="235"/>
        <v>3.39E-2</v>
      </c>
      <c r="BR216" s="23">
        <f>BR$5+SUM(BS$5:BS215)+SUM(R$5:R215)-SUM(S$5:S215)+SUM(BV$5:BV215)</f>
        <v>277175.2726567777</v>
      </c>
      <c r="BS216" s="22">
        <f t="shared" si="249"/>
        <v>-883.26091724086746</v>
      </c>
      <c r="BT216" s="22">
        <f t="shared" si="250"/>
        <v>-783.02014525539698</v>
      </c>
      <c r="BU216" s="22">
        <f>IF(U216&lt;0,PMT(BQ216/12,Dane_kredytowe!F$13-SUM(AB$5:AB216)+1,BR216),0)</f>
        <v>-1666.2810624962644</v>
      </c>
      <c r="BV216" s="22">
        <f t="shared" si="243"/>
        <v>131.06802851402449</v>
      </c>
      <c r="BX216" s="23">
        <f>BX$5+SUM(BZ$5:BZ215)+SUM(R$5:R215)-SUM(S$5:S215)+SUM(CB$5,CB215)</f>
        <v>187260.6076033797</v>
      </c>
      <c r="BY216" s="22">
        <f t="shared" si="236"/>
        <v>-529.01121647954767</v>
      </c>
      <c r="BZ216" s="22">
        <f t="shared" si="237"/>
        <v>-832.26936712613201</v>
      </c>
      <c r="CA216" s="22">
        <f t="shared" si="251"/>
        <v>-1361.2805836056796</v>
      </c>
      <c r="CB216" s="22">
        <f t="shared" si="252"/>
        <v>-173.93245037656038</v>
      </c>
      <c r="CD216" s="22">
        <f>CD$5+SUM(CE$5:CE215)+SUM(R$5:R215)-SUM(S$5:S215)-SUM(CF$5:CF215)</f>
        <v>247772.47191521822</v>
      </c>
      <c r="CE216" s="22">
        <f t="shared" si="244"/>
        <v>529.01121647954767</v>
      </c>
      <c r="CF216" s="22">
        <f t="shared" si="238"/>
        <v>1535.2130339822399</v>
      </c>
      <c r="CG216" s="22">
        <f t="shared" si="245"/>
        <v>1006.2018175026923</v>
      </c>
      <c r="CI216" s="89">
        <f t="shared" si="239"/>
        <v>0.3916</v>
      </c>
      <c r="CJ216" s="22">
        <f t="shared" si="240"/>
        <v>-601.19000000000005</v>
      </c>
      <c r="CK216" s="15">
        <f t="shared" si="246"/>
        <v>0</v>
      </c>
      <c r="CM216" s="22">
        <f t="shared" si="247"/>
        <v>-191754.69487588524</v>
      </c>
      <c r="CN216" s="15">
        <f t="shared" si="253"/>
        <v>-274.84839598876886</v>
      </c>
    </row>
    <row r="217" spans="1:92">
      <c r="A217" s="25"/>
      <c r="B217" s="80">
        <v>43709</v>
      </c>
      <c r="C217" s="81">
        <f t="shared" si="217"/>
        <v>3.9918999999999998</v>
      </c>
      <c r="D217" s="82">
        <f t="shared" si="248"/>
        <v>4.1116570000000001</v>
      </c>
      <c r="E217" s="73">
        <f t="shared" si="279"/>
        <v>-370.18830339123122</v>
      </c>
      <c r="F217" s="19">
        <f t="shared" si="280"/>
        <v>-1522.0873289566796</v>
      </c>
      <c r="G217" s="19">
        <f t="shared" si="281"/>
        <v>-1167.3634455629365</v>
      </c>
      <c r="H217" s="19">
        <f t="shared" si="282"/>
        <v>354.72388339374311</v>
      </c>
      <c r="I217" s="62"/>
      <c r="K217" s="15">
        <f>IF(B217&lt;=Dane_kredytowe!F$9,0,K216+1)</f>
        <v>137</v>
      </c>
      <c r="L217" s="83">
        <f t="shared" si="218"/>
        <v>-8.6E-3</v>
      </c>
      <c r="M217" s="84">
        <f>L217+Dane_kredytowe!F$12</f>
        <v>2.1399999999999999E-2</v>
      </c>
      <c r="N217" s="79">
        <f>MAX(Dane_kredytowe!F$17+SUM(AA$5:AA216)-SUM(X$5:X217)+SUM(W$5:W217),0)</f>
        <v>68311.928371995891</v>
      </c>
      <c r="O217" s="85">
        <f>MAX(Dane_kredytowe!F$8+SUM(V$5:V216)-SUM(S$5:S217)+SUM(R$5:R216),0)</f>
        <v>215416.98467199755</v>
      </c>
      <c r="P217" s="67">
        <f t="shared" si="180"/>
        <v>360</v>
      </c>
      <c r="Q217" s="127" t="str">
        <f>IF(AND(K217&gt;0,K217&lt;=Dane_kredytowe!F$16),"tak","nie")</f>
        <v>nie</v>
      </c>
      <c r="R217" s="69"/>
      <c r="S217" s="86">
        <f>IF(Dane_kredytowe!F$19=B217,O216+V216,_xlfn.XLOOKUP(B217,Dane_kredytowe!M$9:M$18,Dane_kredytowe!N$9:N$18,0))</f>
        <v>0</v>
      </c>
      <c r="T217" s="71">
        <f t="shared" si="219"/>
        <v>-384.16028933172896</v>
      </c>
      <c r="U217" s="72">
        <f>IF(Q217="tak",T217,IF(P217-SUM(AB$5:AB217)+1&gt;0,IF(Dane_kredytowe!F$9&lt;B217,IF(SUM(AB$5:AB217)-Dane_kredytowe!F$16+1&gt;0,PMT(M217/12,P217+1-SUM(AB$5:AB217),O217),T217),0),0))</f>
        <v>-1167.3634455629365</v>
      </c>
      <c r="V217" s="72">
        <f t="shared" si="241"/>
        <v>-783.20315623120746</v>
      </c>
      <c r="W217" s="19" t="str">
        <f t="shared" si="242"/>
        <v xml:space="preserve"> </v>
      </c>
      <c r="X217" s="19">
        <f t="shared" si="266"/>
        <v>0</v>
      </c>
      <c r="Y217" s="73">
        <f t="shared" si="220"/>
        <v>-121.82293893005932</v>
      </c>
      <c r="Z217" s="19">
        <f>IF(P217-SUM(AB$5:AB217)+1&gt;0,IF(Dane_kredytowe!F$9&lt;B217,IF(SUM(AB$5:AB217)-Dane_kredytowe!F$16+1&gt;0,PMT(M217/12,P217+1-SUM(AB$5:AB217),N217),Y217),0),0)</f>
        <v>-370.18830339123122</v>
      </c>
      <c r="AA217" s="19">
        <f t="shared" si="283"/>
        <v>-248.36536446117191</v>
      </c>
      <c r="AB217" s="20">
        <f>IF(AND(Dane_kredytowe!F$9&lt;B217,SUM(AB$5:AB216)&lt;P216),1," ")</f>
        <v>1</v>
      </c>
      <c r="AD217" s="75">
        <f>IF(OR(B217&lt;Dane_kredytowe!F$15,Dane_kredytowe!F$15=""),-F217+S217,0)</f>
        <v>0</v>
      </c>
      <c r="AE217" s="75">
        <f t="shared" si="221"/>
        <v>370.18830339123122</v>
      </c>
      <c r="AG217" s="22">
        <f>Dane_kredytowe!F$17-SUM(AI$5:AI216)+SUM(W$42:W217)-SUM(X$42:X217)</f>
        <v>59195.100000000071</v>
      </c>
      <c r="AH217" s="22">
        <f t="shared" si="222"/>
        <v>105.56</v>
      </c>
      <c r="AI217" s="22">
        <f t="shared" si="223"/>
        <v>264.26</v>
      </c>
      <c r="AJ217" s="22">
        <f t="shared" si="284"/>
        <v>369.82</v>
      </c>
      <c r="AK217" s="22">
        <f t="shared" si="224"/>
        <v>1520.57</v>
      </c>
      <c r="AL217" s="22">
        <f>Dane_kredytowe!F$8-SUM(AN$5:AN216)+SUM(R$42:R216)-SUM(S$42:S217)</f>
        <v>186667.03999999986</v>
      </c>
      <c r="AM217" s="22">
        <f t="shared" si="225"/>
        <v>332.89</v>
      </c>
      <c r="AN217" s="22">
        <f t="shared" si="226"/>
        <v>833.33</v>
      </c>
      <c r="AO217" s="22">
        <f t="shared" si="285"/>
        <v>1166.22</v>
      </c>
      <c r="AP217" s="22">
        <f t="shared" si="286"/>
        <v>354.34999999999991</v>
      </c>
      <c r="AR217" s="87">
        <f t="shared" si="227"/>
        <v>43709</v>
      </c>
      <c r="AS217" s="23">
        <f>AS$5+SUM(AV$5:AV216)-SUM(X$5:X217)+SUM(W$5:W217)</f>
        <v>99850.275642902387</v>
      </c>
      <c r="AT217" s="22">
        <f t="shared" si="228"/>
        <v>-178.06632489650926</v>
      </c>
      <c r="AU217" s="22">
        <f>IF(AB217=1,IF(Q217="tak",AT217,PMT(M217/12,P217+1-SUM(AB$5:AB217),AS217)),0)</f>
        <v>-541.09736050938011</v>
      </c>
      <c r="AV217" s="22">
        <f t="shared" si="287"/>
        <v>-363.03103561287082</v>
      </c>
      <c r="AW217" s="22">
        <f t="shared" si="229"/>
        <v>-2160.0065534173941</v>
      </c>
      <c r="AY217" s="23">
        <f>AY$5+SUM(BA$5:BA216)+SUM(W$5:W216)-SUM(X$5:X216)</f>
        <v>86523.55143784199</v>
      </c>
      <c r="AZ217" s="23">
        <f t="shared" si="230"/>
        <v>-178.06632489650926</v>
      </c>
      <c r="BA217" s="23">
        <f t="shared" si="231"/>
        <v>-386.27</v>
      </c>
      <c r="BB217" s="23">
        <f t="shared" si="288"/>
        <v>-564.33632489650927</v>
      </c>
      <c r="BC217" s="23">
        <f t="shared" si="232"/>
        <v>-2252.7741753543751</v>
      </c>
      <c r="BE217" s="88">
        <f t="shared" si="233"/>
        <v>1.72E-2</v>
      </c>
      <c r="BF217" s="89">
        <f>BE217+Dane_kredytowe!F$12</f>
        <v>4.7199999999999999E-2</v>
      </c>
      <c r="BG217" s="23">
        <f>BG$5+SUM(BH$5:BH216)+SUM(R$5:R216)-SUM(S$5:S216)</f>
        <v>241233.0162268641</v>
      </c>
      <c r="BH217" s="22">
        <f t="shared" si="289"/>
        <v>-673.27490359668752</v>
      </c>
      <c r="BI217" s="22">
        <f t="shared" si="290"/>
        <v>-948.84986382566547</v>
      </c>
      <c r="BJ217" s="22">
        <f>IF(U217&lt;0,PMT(BF217/12,Dane_kredytowe!F$13-SUM(AB$5:AB217)+1,BG217),0)</f>
        <v>-1622.124767422353</v>
      </c>
      <c r="BL217" s="23">
        <f>BL$5+SUM(BN$5:BN216)+SUM(R$5:R216)-SUM(S$5:S216)</f>
        <v>186666.66666666686</v>
      </c>
      <c r="BM217" s="23">
        <f t="shared" si="194"/>
        <v>-734.22222222222297</v>
      </c>
      <c r="BN217" s="23">
        <f t="shared" si="234"/>
        <v>-833.33333333333417</v>
      </c>
      <c r="BO217" s="23">
        <f t="shared" si="179"/>
        <v>-1567.555555555557</v>
      </c>
      <c r="BQ217" s="89">
        <f t="shared" si="235"/>
        <v>3.39E-2</v>
      </c>
      <c r="BR217" s="23">
        <f>BR$5+SUM(BS$5:BS216)+SUM(R$5:R216)-SUM(S$5:S216)+SUM(BV$5:BV216)</f>
        <v>276423.07976805081</v>
      </c>
      <c r="BS217" s="22">
        <f t="shared" si="249"/>
        <v>-886.17631632511973</v>
      </c>
      <c r="BT217" s="22">
        <f t="shared" si="250"/>
        <v>-780.89520034474356</v>
      </c>
      <c r="BU217" s="22">
        <f>IF(U217&lt;0,PMT(BQ217/12,Dane_kredytowe!F$13-SUM(AB$5:AB217)+1,BR217),0)</f>
        <v>-1667.0715166698633</v>
      </c>
      <c r="BV217" s="22">
        <f t="shared" si="243"/>
        <v>144.9841877131837</v>
      </c>
      <c r="BX217" s="23">
        <f>BX$5+SUM(BZ$5:BZ216)+SUM(R$5:R216)-SUM(S$5:S216)+SUM(CB$5,CB216)</f>
        <v>186371.88157897961</v>
      </c>
      <c r="BY217" s="22">
        <f t="shared" si="236"/>
        <v>-526.50056546061739</v>
      </c>
      <c r="BZ217" s="22">
        <f t="shared" si="237"/>
        <v>-832.01732847758751</v>
      </c>
      <c r="CA217" s="22">
        <f t="shared" si="251"/>
        <v>-1358.5178939382049</v>
      </c>
      <c r="CB217" s="22">
        <f t="shared" si="252"/>
        <v>-163.56943501847468</v>
      </c>
      <c r="CD217" s="22">
        <f>CD$5+SUM(CE$5:CE216)+SUM(R$5:R216)-SUM(S$5:S216)-SUM(CF$5:CF216)</f>
        <v>246766.27009771558</v>
      </c>
      <c r="CE217" s="22">
        <f t="shared" si="244"/>
        <v>526.50056546061739</v>
      </c>
      <c r="CF217" s="22">
        <f t="shared" si="238"/>
        <v>1522.0873289566796</v>
      </c>
      <c r="CG217" s="22">
        <f t="shared" si="245"/>
        <v>995.58676349606219</v>
      </c>
      <c r="CI217" s="89">
        <f t="shared" si="239"/>
        <v>0.3916</v>
      </c>
      <c r="CJ217" s="22">
        <f t="shared" si="240"/>
        <v>-596.04999999999995</v>
      </c>
      <c r="CK217" s="15">
        <f t="shared" si="246"/>
        <v>0</v>
      </c>
      <c r="CM217" s="22">
        <f t="shared" si="247"/>
        <v>-193276.7822048419</v>
      </c>
      <c r="CN217" s="15">
        <f t="shared" si="253"/>
        <v>-277.03005449360671</v>
      </c>
    </row>
    <row r="218" spans="1:92">
      <c r="A218" s="25"/>
      <c r="B218" s="80">
        <v>43739</v>
      </c>
      <c r="C218" s="81">
        <f t="shared" si="217"/>
        <v>3.9180000000000001</v>
      </c>
      <c r="D218" s="82">
        <f t="shared" si="248"/>
        <v>4.0355400000000001</v>
      </c>
      <c r="E218" s="73">
        <f t="shared" si="279"/>
        <v>-370.18830339123127</v>
      </c>
      <c r="F218" s="19">
        <f t="shared" si="280"/>
        <v>-1493.9097058674495</v>
      </c>
      <c r="G218" s="19">
        <f t="shared" si="281"/>
        <v>-1167.3634455629365</v>
      </c>
      <c r="H218" s="19">
        <f t="shared" si="282"/>
        <v>326.546260304513</v>
      </c>
      <c r="I218" s="62"/>
      <c r="K218" s="15">
        <f>IF(B218&lt;=Dane_kredytowe!F$9,0,K217+1)</f>
        <v>138</v>
      </c>
      <c r="L218" s="83">
        <f t="shared" si="218"/>
        <v>-8.6E-3</v>
      </c>
      <c r="M218" s="84">
        <f>L218+Dane_kredytowe!F$12</f>
        <v>2.1399999999999999E-2</v>
      </c>
      <c r="N218" s="79">
        <f>MAX(Dane_kredytowe!F$17+SUM(AA$5:AA217)-SUM(X$5:X218)+SUM(W$5:W218),0)</f>
        <v>68063.563007534729</v>
      </c>
      <c r="O218" s="85">
        <f>MAX(Dane_kredytowe!F$8+SUM(V$5:V217)-SUM(S$5:S218)+SUM(R$5:R217),0)</f>
        <v>214633.78151576634</v>
      </c>
      <c r="P218" s="67">
        <f t="shared" si="180"/>
        <v>360</v>
      </c>
      <c r="Q218" s="127" t="str">
        <f>IF(AND(K218&gt;0,K218&lt;=Dane_kredytowe!F$16),"tak","nie")</f>
        <v>nie</v>
      </c>
      <c r="R218" s="69"/>
      <c r="S218" s="86">
        <f>IF(Dane_kredytowe!F$19=B218,O217+V217,_xlfn.XLOOKUP(B218,Dane_kredytowe!M$9:M$18,Dane_kredytowe!N$9:N$18,0))</f>
        <v>0</v>
      </c>
      <c r="T218" s="71">
        <f t="shared" si="219"/>
        <v>-382.76357703644999</v>
      </c>
      <c r="U218" s="72">
        <f>IF(Q218="tak",T218,IF(P218-SUM(AB$5:AB218)+1&gt;0,IF(Dane_kredytowe!F$9&lt;B218,IF(SUM(AB$5:AB218)-Dane_kredytowe!F$16+1&gt;0,PMT(M218/12,P218+1-SUM(AB$5:AB218),O218),T218),0),0))</f>
        <v>-1167.3634455629365</v>
      </c>
      <c r="V218" s="72">
        <f t="shared" si="241"/>
        <v>-784.59986852648649</v>
      </c>
      <c r="W218" s="19" t="str">
        <f t="shared" si="242"/>
        <v xml:space="preserve"> </v>
      </c>
      <c r="X218" s="19">
        <f t="shared" si="266"/>
        <v>0</v>
      </c>
      <c r="Y218" s="73">
        <f t="shared" si="220"/>
        <v>-121.38002069677026</v>
      </c>
      <c r="Z218" s="19">
        <f>IF(P218-SUM(AB$5:AB218)+1&gt;0,IF(Dane_kredytowe!F$9&lt;B218,IF(SUM(AB$5:AB218)-Dane_kredytowe!F$16+1&gt;0,PMT(M218/12,P218+1-SUM(AB$5:AB218),N218),Y218),0),0)</f>
        <v>-370.18830339123127</v>
      </c>
      <c r="AA218" s="19">
        <f t="shared" si="283"/>
        <v>-248.80828269446101</v>
      </c>
      <c r="AB218" s="20">
        <f>IF(AND(Dane_kredytowe!F$9&lt;B218,SUM(AB$5:AB217)&lt;P217),1," ")</f>
        <v>1</v>
      </c>
      <c r="AD218" s="75">
        <f>IF(OR(B218&lt;Dane_kredytowe!F$15,Dane_kredytowe!F$15=""),-F218+S218,0)</f>
        <v>0</v>
      </c>
      <c r="AE218" s="75">
        <f t="shared" si="221"/>
        <v>370.18830339123127</v>
      </c>
      <c r="AG218" s="22">
        <f>Dane_kredytowe!F$17-SUM(AI$5:AI217)+SUM(W$42:W218)-SUM(X$42:X218)</f>
        <v>58930.840000000069</v>
      </c>
      <c r="AH218" s="22">
        <f t="shared" si="222"/>
        <v>105.09</v>
      </c>
      <c r="AI218" s="22">
        <f t="shared" si="223"/>
        <v>264.26</v>
      </c>
      <c r="AJ218" s="22">
        <f t="shared" si="284"/>
        <v>369.35</v>
      </c>
      <c r="AK218" s="22">
        <f t="shared" si="224"/>
        <v>1490.53</v>
      </c>
      <c r="AL218" s="22">
        <f>Dane_kredytowe!F$8-SUM(AN$5:AN217)+SUM(R$42:R217)-SUM(S$42:S218)</f>
        <v>185833.70999999985</v>
      </c>
      <c r="AM218" s="22">
        <f t="shared" si="225"/>
        <v>331.4</v>
      </c>
      <c r="AN218" s="22">
        <f t="shared" si="226"/>
        <v>833.34</v>
      </c>
      <c r="AO218" s="22">
        <f t="shared" si="285"/>
        <v>1164.74</v>
      </c>
      <c r="AP218" s="22">
        <f t="shared" si="286"/>
        <v>325.78999999999996</v>
      </c>
      <c r="AR218" s="87">
        <f t="shared" si="227"/>
        <v>43739</v>
      </c>
      <c r="AS218" s="23">
        <f>AS$5+SUM(AV$5:AV217)-SUM(X$5:X218)+SUM(W$5:W218)</f>
        <v>99487.244607289511</v>
      </c>
      <c r="AT218" s="22">
        <f t="shared" si="228"/>
        <v>-177.41891954966627</v>
      </c>
      <c r="AU218" s="22">
        <f>IF(AB218=1,IF(Q218="tak",AT218,PMT(M218/12,P218+1-SUM(AB$5:AB218),AS218)),0)</f>
        <v>-541.09736050938011</v>
      </c>
      <c r="AV218" s="22">
        <f t="shared" si="287"/>
        <v>-363.67844095971384</v>
      </c>
      <c r="AW218" s="22">
        <f t="shared" si="229"/>
        <v>-2120.0194584757514</v>
      </c>
      <c r="AY218" s="23">
        <f>AY$5+SUM(BA$5:BA217)+SUM(W$5:W217)-SUM(X$5:X217)</f>
        <v>86137.281437841986</v>
      </c>
      <c r="AZ218" s="23">
        <f t="shared" si="230"/>
        <v>-177.41891954966627</v>
      </c>
      <c r="BA218" s="23">
        <f t="shared" si="231"/>
        <v>-386.27</v>
      </c>
      <c r="BB218" s="23">
        <f t="shared" si="288"/>
        <v>-563.68891954966625</v>
      </c>
      <c r="BC218" s="23">
        <f t="shared" si="232"/>
        <v>-2208.5331867955924</v>
      </c>
      <c r="BE218" s="88">
        <f t="shared" si="233"/>
        <v>1.72E-2</v>
      </c>
      <c r="BF218" s="89">
        <f>BE218+Dane_kredytowe!F$12</f>
        <v>4.7199999999999999E-2</v>
      </c>
      <c r="BG218" s="23">
        <f>BG$5+SUM(BH$5:BH217)+SUM(R$5:R217)-SUM(S$5:S217)</f>
        <v>240559.7413232674</v>
      </c>
      <c r="BH218" s="22">
        <f t="shared" si="289"/>
        <v>-675.92311821750093</v>
      </c>
      <c r="BI218" s="22">
        <f t="shared" si="290"/>
        <v>-946.20164920485183</v>
      </c>
      <c r="BJ218" s="22">
        <f>IF(U218&lt;0,PMT(BF218/12,Dane_kredytowe!F$13-SUM(AB$5:AB218)+1,BG218),0)</f>
        <v>-1622.1247674223528</v>
      </c>
      <c r="BL218" s="23">
        <f>BL$5+SUM(BN$5:BN217)+SUM(R$5:R217)-SUM(S$5:S217)</f>
        <v>185833.33333333355</v>
      </c>
      <c r="BM218" s="23">
        <f t="shared" si="194"/>
        <v>-730.94444444444525</v>
      </c>
      <c r="BN218" s="23">
        <f t="shared" si="234"/>
        <v>-833.33333333333428</v>
      </c>
      <c r="BO218" s="23">
        <f t="shared" si="179"/>
        <v>-1564.2777777777796</v>
      </c>
      <c r="BQ218" s="89">
        <f t="shared" si="235"/>
        <v>3.39E-2</v>
      </c>
      <c r="BR218" s="23">
        <f>BR$5+SUM(BS$5:BS217)+SUM(R$5:R217)-SUM(S$5:S217)+SUM(BV$5:BV217)</f>
        <v>275681.88763943891</v>
      </c>
      <c r="BS218" s="22">
        <f t="shared" si="249"/>
        <v>-889.14737696779207</v>
      </c>
      <c r="BT218" s="22">
        <f t="shared" si="250"/>
        <v>-778.80133258141495</v>
      </c>
      <c r="BU218" s="22">
        <f>IF(U218&lt;0,PMT(BQ218/12,Dane_kredytowe!F$13-SUM(AB$5:AB218)+1,BR218),0)</f>
        <v>-1667.948709549207</v>
      </c>
      <c r="BV218" s="22">
        <f t="shared" si="243"/>
        <v>174.03900368175755</v>
      </c>
      <c r="BX218" s="23">
        <f>BX$5+SUM(BZ$5:BZ217)+SUM(R$5:R217)-SUM(S$5:S217)+SUM(CB$5,CB217)</f>
        <v>185550.22726586013</v>
      </c>
      <c r="BY218" s="22">
        <f t="shared" si="236"/>
        <v>-524.17939202605487</v>
      </c>
      <c r="BZ218" s="22">
        <f t="shared" si="237"/>
        <v>-832.06379939847591</v>
      </c>
      <c r="CA218" s="22">
        <f t="shared" si="251"/>
        <v>-1356.2431914245308</v>
      </c>
      <c r="CB218" s="22">
        <f t="shared" si="252"/>
        <v>-137.6665144429187</v>
      </c>
      <c r="CD218" s="22">
        <f>CD$5+SUM(CE$5:CE217)+SUM(R$5:R217)-SUM(S$5:S217)-SUM(CF$5:CF217)</f>
        <v>245770.6833342195</v>
      </c>
      <c r="CE218" s="22">
        <f t="shared" si="244"/>
        <v>524.17939202605487</v>
      </c>
      <c r="CF218" s="22">
        <f t="shared" si="238"/>
        <v>1493.9097058674495</v>
      </c>
      <c r="CG218" s="22">
        <f t="shared" si="245"/>
        <v>969.7303138413946</v>
      </c>
      <c r="CI218" s="89">
        <f t="shared" si="239"/>
        <v>0.38890000000000002</v>
      </c>
      <c r="CJ218" s="22">
        <f t="shared" si="240"/>
        <v>-580.98</v>
      </c>
      <c r="CK218" s="15">
        <f t="shared" si="246"/>
        <v>0</v>
      </c>
      <c r="CM218" s="22">
        <f t="shared" si="247"/>
        <v>-194770.69191070934</v>
      </c>
      <c r="CN218" s="15">
        <f t="shared" si="253"/>
        <v>-279.17132507201671</v>
      </c>
    </row>
    <row r="219" spans="1:92">
      <c r="A219" s="25"/>
      <c r="B219" s="80">
        <v>43770</v>
      </c>
      <c r="C219" s="81">
        <f t="shared" si="217"/>
        <v>3.9020000000000001</v>
      </c>
      <c r="D219" s="82">
        <f t="shared" si="248"/>
        <v>4.0190600000000005</v>
      </c>
      <c r="E219" s="73">
        <f t="shared" si="279"/>
        <v>-373.40564638704944</v>
      </c>
      <c r="F219" s="19">
        <f t="shared" si="280"/>
        <v>-1500.7396971683352</v>
      </c>
      <c r="G219" s="19">
        <f t="shared" si="281"/>
        <v>-1177.5091162141964</v>
      </c>
      <c r="H219" s="19">
        <f t="shared" si="282"/>
        <v>323.23058095413876</v>
      </c>
      <c r="I219" s="62"/>
      <c r="K219" s="15">
        <f>IF(B219&lt;=Dane_kredytowe!F$9,0,K218+1)</f>
        <v>139</v>
      </c>
      <c r="L219" s="83">
        <f t="shared" si="218"/>
        <v>-7.6E-3</v>
      </c>
      <c r="M219" s="84">
        <f>L219+Dane_kredytowe!F$12</f>
        <v>2.24E-2</v>
      </c>
      <c r="N219" s="79">
        <f>MAX(Dane_kredytowe!F$17+SUM(AA$5:AA218)-SUM(X$5:X219)+SUM(W$5:W219),0)</f>
        <v>67814.754724840255</v>
      </c>
      <c r="O219" s="85">
        <f>MAX(Dane_kredytowe!F$8+SUM(V$5:V218)-SUM(S$5:S219)+SUM(R$5:R218),0)</f>
        <v>213849.18164723986</v>
      </c>
      <c r="P219" s="67">
        <f t="shared" si="180"/>
        <v>360</v>
      </c>
      <c r="Q219" s="127" t="str">
        <f>IF(AND(K219&gt;0,K219&lt;=Dane_kredytowe!F$16),"tak","nie")</f>
        <v>nie</v>
      </c>
      <c r="R219" s="69"/>
      <c r="S219" s="86">
        <f>IF(Dane_kredytowe!F$19=B219,O218+V218,_xlfn.XLOOKUP(B219,Dane_kredytowe!M$9:M$18,Dane_kredytowe!N$9:N$18,0))</f>
        <v>0</v>
      </c>
      <c r="T219" s="71">
        <f t="shared" si="219"/>
        <v>-399.18513907484771</v>
      </c>
      <c r="U219" s="72">
        <f>IF(Q219="tak",T219,IF(P219-SUM(AB$5:AB219)+1&gt;0,IF(Dane_kredytowe!F$9&lt;B219,IF(SUM(AB$5:AB219)-Dane_kredytowe!F$16+1&gt;0,PMT(M219/12,P219+1-SUM(AB$5:AB219),O219),T219),0),0))</f>
        <v>-1177.5091162141964</v>
      </c>
      <c r="V219" s="72">
        <f t="shared" si="241"/>
        <v>-778.3239771393487</v>
      </c>
      <c r="W219" s="19" t="str">
        <f t="shared" si="242"/>
        <v xml:space="preserve"> </v>
      </c>
      <c r="X219" s="19">
        <f t="shared" si="266"/>
        <v>0</v>
      </c>
      <c r="Y219" s="73">
        <f t="shared" si="220"/>
        <v>-126.58754215303514</v>
      </c>
      <c r="Z219" s="19">
        <f>IF(P219-SUM(AB$5:AB219)+1&gt;0,IF(Dane_kredytowe!F$9&lt;B219,IF(SUM(AB$5:AB219)-Dane_kredytowe!F$16+1&gt;0,PMT(M219/12,P219+1-SUM(AB$5:AB219),N219),Y219),0),0)</f>
        <v>-373.40564638704944</v>
      </c>
      <c r="AA219" s="19">
        <f t="shared" si="283"/>
        <v>-246.8181042340143</v>
      </c>
      <c r="AB219" s="20">
        <f>IF(AND(Dane_kredytowe!F$9&lt;B219,SUM(AB$5:AB218)&lt;P218),1," ")</f>
        <v>1</v>
      </c>
      <c r="AD219" s="75">
        <f>IF(OR(B219&lt;Dane_kredytowe!F$15,Dane_kredytowe!F$15=""),-F219+S219,0)</f>
        <v>0</v>
      </c>
      <c r="AE219" s="75">
        <f t="shared" si="221"/>
        <v>373.40564638704944</v>
      </c>
      <c r="AG219" s="22">
        <f>Dane_kredytowe!F$17-SUM(AI$5:AI218)+SUM(W$42:W219)-SUM(X$42:X219)</f>
        <v>58666.580000000067</v>
      </c>
      <c r="AH219" s="22">
        <f t="shared" si="222"/>
        <v>109.51</v>
      </c>
      <c r="AI219" s="22">
        <f t="shared" si="223"/>
        <v>264.26</v>
      </c>
      <c r="AJ219" s="22">
        <f t="shared" si="284"/>
        <v>373.77</v>
      </c>
      <c r="AK219" s="22">
        <f t="shared" si="224"/>
        <v>1502.2</v>
      </c>
      <c r="AL219" s="22">
        <f>Dane_kredytowe!F$8-SUM(AN$5:AN218)+SUM(R$42:R218)-SUM(S$42:S219)</f>
        <v>185000.36999999985</v>
      </c>
      <c r="AM219" s="22">
        <f t="shared" si="225"/>
        <v>345.33</v>
      </c>
      <c r="AN219" s="22">
        <f t="shared" si="226"/>
        <v>833.33</v>
      </c>
      <c r="AO219" s="22">
        <f t="shared" si="285"/>
        <v>1178.6600000000001</v>
      </c>
      <c r="AP219" s="22">
        <f t="shared" si="286"/>
        <v>323.53999999999996</v>
      </c>
      <c r="AR219" s="87">
        <f t="shared" si="227"/>
        <v>43770</v>
      </c>
      <c r="AS219" s="23">
        <f>AS$5+SUM(AV$5:AV218)-SUM(X$5:X219)+SUM(W$5:W219)</f>
        <v>99123.566166329794</v>
      </c>
      <c r="AT219" s="22">
        <f t="shared" si="228"/>
        <v>-185.03065684381559</v>
      </c>
      <c r="AU219" s="22">
        <f>IF(AB219=1,IF(Q219="tak",AT219,PMT(M219/12,P219+1-SUM(AB$5:AB219),AS219)),0)</f>
        <v>-545.80009094938191</v>
      </c>
      <c r="AV219" s="22">
        <f t="shared" si="287"/>
        <v>-360.76943410556635</v>
      </c>
      <c r="AW219" s="22">
        <f t="shared" si="229"/>
        <v>-2129.7119548844885</v>
      </c>
      <c r="AY219" s="23">
        <f>AY$5+SUM(BA$5:BA218)+SUM(W$5:W218)-SUM(X$5:X218)</f>
        <v>85751.011437841982</v>
      </c>
      <c r="AZ219" s="23">
        <f t="shared" si="230"/>
        <v>-185.03065684381559</v>
      </c>
      <c r="BA219" s="23">
        <f t="shared" si="231"/>
        <v>-386.27</v>
      </c>
      <c r="BB219" s="23">
        <f t="shared" si="288"/>
        <v>-571.30065684381555</v>
      </c>
      <c r="BC219" s="23">
        <f t="shared" si="232"/>
        <v>-2229.2151630045682</v>
      </c>
      <c r="BE219" s="88">
        <f t="shared" si="233"/>
        <v>1.7100000000000001E-2</v>
      </c>
      <c r="BF219" s="89">
        <f>BE219+Dane_kredytowe!F$12</f>
        <v>4.7100000000000003E-2</v>
      </c>
      <c r="BG219" s="23">
        <f>BG$5+SUM(BH$5:BH218)+SUM(R$5:R218)-SUM(S$5:S218)</f>
        <v>239883.8182050499</v>
      </c>
      <c r="BH219" s="22">
        <f t="shared" si="289"/>
        <v>-679.29412802463378</v>
      </c>
      <c r="BI219" s="22">
        <f t="shared" si="290"/>
        <v>-941.54398645482081</v>
      </c>
      <c r="BJ219" s="22">
        <f>IF(U219&lt;0,PMT(BF219/12,Dane_kredytowe!F$13-SUM(AB$5:AB219)+1,BG219),0)</f>
        <v>-1620.8381144794546</v>
      </c>
      <c r="BL219" s="23">
        <f>BL$5+SUM(BN$5:BN218)+SUM(R$5:R218)-SUM(S$5:S218)</f>
        <v>185000.00000000023</v>
      </c>
      <c r="BM219" s="23">
        <f t="shared" si="194"/>
        <v>-726.12500000000091</v>
      </c>
      <c r="BN219" s="23">
        <f t="shared" si="234"/>
        <v>-833.33333333333439</v>
      </c>
      <c r="BO219" s="23">
        <f t="shared" si="179"/>
        <v>-1559.4583333333353</v>
      </c>
      <c r="BQ219" s="89">
        <f t="shared" si="235"/>
        <v>3.3799999999999997E-2</v>
      </c>
      <c r="BR219" s="23">
        <f>BR$5+SUM(BS$5:BS218)+SUM(R$5:R218)-SUM(S$5:S218)+SUM(BV$5:BV218)</f>
        <v>274966.77926615288</v>
      </c>
      <c r="BS219" s="22">
        <f t="shared" si="249"/>
        <v>-893.12890377346469</v>
      </c>
      <c r="BT219" s="22">
        <f t="shared" si="250"/>
        <v>-774.48976159966389</v>
      </c>
      <c r="BU219" s="22">
        <f>IF(U219&lt;0,PMT(BQ219/12,Dane_kredytowe!F$13-SUM(AB$5:AB219)+1,BR219),0)</f>
        <v>-1667.6186653731286</v>
      </c>
      <c r="BV219" s="22">
        <f t="shared" si="243"/>
        <v>166.87896820479341</v>
      </c>
      <c r="BX219" s="23">
        <f>BX$5+SUM(BZ$5:BZ218)+SUM(R$5:R218)-SUM(S$5:S218)+SUM(CB$5,CB218)</f>
        <v>184744.06638703719</v>
      </c>
      <c r="BY219" s="22">
        <f t="shared" si="236"/>
        <v>-520.36245365682134</v>
      </c>
      <c r="BZ219" s="22">
        <f t="shared" si="237"/>
        <v>-832.18047922088829</v>
      </c>
      <c r="CA219" s="22">
        <f t="shared" si="251"/>
        <v>-1352.5429328777095</v>
      </c>
      <c r="CB219" s="22">
        <f t="shared" si="252"/>
        <v>-148.19676429062565</v>
      </c>
      <c r="CD219" s="22">
        <f>CD$5+SUM(CE$5:CE218)+SUM(R$5:R218)-SUM(S$5:S218)-SUM(CF$5:CF218)</f>
        <v>244800.95302037816</v>
      </c>
      <c r="CE219" s="22">
        <f t="shared" si="244"/>
        <v>520.36245365682134</v>
      </c>
      <c r="CF219" s="22">
        <f t="shared" si="238"/>
        <v>1500.7396971683352</v>
      </c>
      <c r="CG219" s="22">
        <f t="shared" si="245"/>
        <v>980.37724351151383</v>
      </c>
      <c r="CI219" s="89">
        <f t="shared" si="239"/>
        <v>0.38750000000000001</v>
      </c>
      <c r="CJ219" s="22">
        <f t="shared" si="240"/>
        <v>-581.54</v>
      </c>
      <c r="CK219" s="15">
        <f t="shared" si="246"/>
        <v>0</v>
      </c>
      <c r="CM219" s="22">
        <f t="shared" si="247"/>
        <v>-196271.43160787769</v>
      </c>
      <c r="CN219" s="15">
        <f t="shared" si="253"/>
        <v>-279.68679004122572</v>
      </c>
    </row>
    <row r="220" spans="1:92">
      <c r="A220" s="25"/>
      <c r="B220" s="80">
        <v>43800</v>
      </c>
      <c r="C220" s="81">
        <f t="shared" si="217"/>
        <v>3.9087000000000001</v>
      </c>
      <c r="D220" s="82">
        <f t="shared" si="248"/>
        <v>4.0259610000000006</v>
      </c>
      <c r="E220" s="73">
        <f t="shared" si="279"/>
        <v>-373.4056463870495</v>
      </c>
      <c r="F220" s="19">
        <f t="shared" si="280"/>
        <v>-1503.3165695340524</v>
      </c>
      <c r="G220" s="19">
        <f t="shared" si="281"/>
        <v>-1177.5091162141964</v>
      </c>
      <c r="H220" s="19">
        <f t="shared" si="282"/>
        <v>325.80745331985599</v>
      </c>
      <c r="I220" s="62"/>
      <c r="K220" s="15">
        <f>IF(B220&lt;=Dane_kredytowe!F$9,0,K219+1)</f>
        <v>140</v>
      </c>
      <c r="L220" s="83">
        <f t="shared" si="218"/>
        <v>-7.6E-3</v>
      </c>
      <c r="M220" s="84">
        <f>L220+Dane_kredytowe!F$12</f>
        <v>2.24E-2</v>
      </c>
      <c r="N220" s="79">
        <f>MAX(Dane_kredytowe!F$17+SUM(AA$5:AA219)-SUM(X$5:X220)+SUM(W$5:W220),0)</f>
        <v>67567.936620606255</v>
      </c>
      <c r="O220" s="85">
        <f>MAX(Dane_kredytowe!F$8+SUM(V$5:V219)-SUM(S$5:S220)+SUM(R$5:R219),0)</f>
        <v>213070.85767010052</v>
      </c>
      <c r="P220" s="67">
        <f t="shared" si="180"/>
        <v>360</v>
      </c>
      <c r="Q220" s="127" t="str">
        <f>IF(AND(K220&gt;0,K220&lt;=Dane_kredytowe!F$16),"tak","nie")</f>
        <v>nie</v>
      </c>
      <c r="R220" s="69"/>
      <c r="S220" s="86">
        <f>IF(Dane_kredytowe!F$19=B220,O219+V219,_xlfn.XLOOKUP(B220,Dane_kredytowe!M$9:M$18,Dane_kredytowe!N$9:N$18,0))</f>
        <v>0</v>
      </c>
      <c r="T220" s="71">
        <f t="shared" si="219"/>
        <v>-397.73226765085428</v>
      </c>
      <c r="U220" s="72">
        <f>IF(Q220="tak",T220,IF(P220-SUM(AB$5:AB220)+1&gt;0,IF(Dane_kredytowe!F$9&lt;B220,IF(SUM(AB$5:AB220)-Dane_kredytowe!F$16+1&gt;0,PMT(M220/12,P220+1-SUM(AB$5:AB220),O220),T220),0),0))</f>
        <v>-1177.5091162141964</v>
      </c>
      <c r="V220" s="72">
        <f t="shared" si="241"/>
        <v>-779.77684856334213</v>
      </c>
      <c r="W220" s="19" t="str">
        <f t="shared" si="242"/>
        <v xml:space="preserve"> </v>
      </c>
      <c r="X220" s="19">
        <f t="shared" si="266"/>
        <v>0</v>
      </c>
      <c r="Y220" s="73">
        <f t="shared" si="220"/>
        <v>-126.12681502513168</v>
      </c>
      <c r="Z220" s="19">
        <f>IF(P220-SUM(AB$5:AB220)+1&gt;0,IF(Dane_kredytowe!F$9&lt;B220,IF(SUM(AB$5:AB220)-Dane_kredytowe!F$16+1&gt;0,PMT(M220/12,P220+1-SUM(AB$5:AB220),N220),Y220),0),0)</f>
        <v>-373.4056463870495</v>
      </c>
      <c r="AA220" s="19">
        <f t="shared" si="283"/>
        <v>-247.27883136191781</v>
      </c>
      <c r="AB220" s="20">
        <f>IF(AND(Dane_kredytowe!F$9&lt;B220,SUM(AB$5:AB219)&lt;P219),1," ")</f>
        <v>1</v>
      </c>
      <c r="AD220" s="75">
        <f>IF(OR(B220&lt;Dane_kredytowe!F$15,Dane_kredytowe!F$15=""),-F220+S220,0)</f>
        <v>0</v>
      </c>
      <c r="AE220" s="75">
        <f t="shared" si="221"/>
        <v>373.4056463870495</v>
      </c>
      <c r="AG220" s="22">
        <f>Dane_kredytowe!F$17-SUM(AI$5:AI219)+SUM(W$42:W220)-SUM(X$42:X220)</f>
        <v>58402.320000000065</v>
      </c>
      <c r="AH220" s="22">
        <f t="shared" si="222"/>
        <v>109.02</v>
      </c>
      <c r="AI220" s="22">
        <f t="shared" si="223"/>
        <v>264.26</v>
      </c>
      <c r="AJ220" s="22">
        <f t="shared" si="284"/>
        <v>373.28</v>
      </c>
      <c r="AK220" s="22">
        <f t="shared" si="224"/>
        <v>1502.81</v>
      </c>
      <c r="AL220" s="22">
        <f>Dane_kredytowe!F$8-SUM(AN$5:AN219)+SUM(R$42:R219)-SUM(S$42:S220)</f>
        <v>184167.03999999986</v>
      </c>
      <c r="AM220" s="22">
        <f t="shared" si="225"/>
        <v>343.78</v>
      </c>
      <c r="AN220" s="22">
        <f t="shared" si="226"/>
        <v>833.34</v>
      </c>
      <c r="AO220" s="22">
        <f t="shared" si="285"/>
        <v>1177.1199999999999</v>
      </c>
      <c r="AP220" s="22">
        <f t="shared" si="286"/>
        <v>325.69000000000005</v>
      </c>
      <c r="AR220" s="87">
        <f t="shared" si="227"/>
        <v>43800</v>
      </c>
      <c r="AS220" s="23">
        <f>AS$5+SUM(AV$5:AV219)-SUM(X$5:X220)+SUM(W$5:W220)</f>
        <v>98762.796732224233</v>
      </c>
      <c r="AT220" s="22">
        <f t="shared" si="228"/>
        <v>-184.35722056681857</v>
      </c>
      <c r="AU220" s="22">
        <f>IF(AB220=1,IF(Q220="tak",AT220,PMT(M220/12,P220+1-SUM(AB$5:AB220),AS220)),0)</f>
        <v>-545.80009094938191</v>
      </c>
      <c r="AV220" s="22">
        <f t="shared" si="287"/>
        <v>-361.44287038256334</v>
      </c>
      <c r="AW220" s="22">
        <f t="shared" si="229"/>
        <v>-2133.3688154938491</v>
      </c>
      <c r="AY220" s="23">
        <f>AY$5+SUM(BA$5:BA219)+SUM(W$5:W219)-SUM(X$5:X219)</f>
        <v>85364.741437841993</v>
      </c>
      <c r="AZ220" s="23">
        <f t="shared" si="230"/>
        <v>-184.35722056681857</v>
      </c>
      <c r="BA220" s="23">
        <f t="shared" si="231"/>
        <v>-386.27</v>
      </c>
      <c r="BB220" s="23">
        <f t="shared" si="288"/>
        <v>-570.62722056681855</v>
      </c>
      <c r="BC220" s="23">
        <f t="shared" si="232"/>
        <v>-2230.4106170295236</v>
      </c>
      <c r="BE220" s="88">
        <f t="shared" si="233"/>
        <v>1.7000000000000001E-2</v>
      </c>
      <c r="BF220" s="89">
        <f>BE220+Dane_kredytowe!F$12</f>
        <v>4.7E-2</v>
      </c>
      <c r="BG220" s="23">
        <f>BG$5+SUM(BH$5:BH219)+SUM(R$5:R219)-SUM(S$5:S219)</f>
        <v>239204.52407702527</v>
      </c>
      <c r="BH220" s="22">
        <f t="shared" si="289"/>
        <v>-682.67247106400839</v>
      </c>
      <c r="BI220" s="22">
        <f t="shared" si="290"/>
        <v>-936.88438596834897</v>
      </c>
      <c r="BJ220" s="22">
        <f>IF(U220&lt;0,PMT(BF220/12,Dane_kredytowe!F$13-SUM(AB$5:AB220)+1,BG220),0)</f>
        <v>-1619.5568570323574</v>
      </c>
      <c r="BL220" s="23">
        <f>BL$5+SUM(BN$5:BN219)+SUM(R$5:R219)-SUM(S$5:S219)</f>
        <v>184166.66666666689</v>
      </c>
      <c r="BM220" s="23">
        <f t="shared" si="194"/>
        <v>-721.31944444444525</v>
      </c>
      <c r="BN220" s="23">
        <f t="shared" si="234"/>
        <v>-833.33333333333439</v>
      </c>
      <c r="BO220" s="23">
        <f t="shared" si="179"/>
        <v>-1554.6527777777796</v>
      </c>
      <c r="BQ220" s="89">
        <f t="shared" si="235"/>
        <v>3.3700000000000001E-2</v>
      </c>
      <c r="BR220" s="23">
        <f>BR$5+SUM(BS$5:BS219)+SUM(R$5:R219)-SUM(S$5:S219)+SUM(BV$5:BV219)</f>
        <v>274240.52933058422</v>
      </c>
      <c r="BS220" s="22">
        <f t="shared" si="249"/>
        <v>-897.09413983869149</v>
      </c>
      <c r="BT220" s="22">
        <f t="shared" si="250"/>
        <v>-770.15881987005741</v>
      </c>
      <c r="BU220" s="22">
        <f>IF(U220&lt;0,PMT(BQ220/12,Dane_kredytowe!F$13-SUM(AB$5:AB220)+1,BR220),0)</f>
        <v>-1667.2529597087489</v>
      </c>
      <c r="BV220" s="22">
        <f t="shared" si="243"/>
        <v>163.9363901746965</v>
      </c>
      <c r="BX220" s="23">
        <f>BX$5+SUM(BZ$5:BZ219)+SUM(R$5:R219)-SUM(S$5:S219)+SUM(CB$5,CB219)</f>
        <v>183901.35565796861</v>
      </c>
      <c r="BY220" s="22">
        <f t="shared" si="236"/>
        <v>-516.45630713946184</v>
      </c>
      <c r="BZ220" s="22">
        <f t="shared" si="237"/>
        <v>-832.13283103153219</v>
      </c>
      <c r="CA220" s="22">
        <f t="shared" si="251"/>
        <v>-1348.5891381709939</v>
      </c>
      <c r="CB220" s="22">
        <f t="shared" si="252"/>
        <v>-154.72743136305849</v>
      </c>
      <c r="CD220" s="22">
        <f>CD$5+SUM(CE$5:CE219)+SUM(R$5:R219)-SUM(S$5:S219)-SUM(CF$5:CF219)</f>
        <v>243820.57577686661</v>
      </c>
      <c r="CE220" s="22">
        <f t="shared" si="244"/>
        <v>516.45630713946184</v>
      </c>
      <c r="CF220" s="22">
        <f t="shared" si="238"/>
        <v>1503.3165695340524</v>
      </c>
      <c r="CG220" s="22">
        <f t="shared" si="245"/>
        <v>986.86026239459056</v>
      </c>
      <c r="CI220" s="89">
        <f t="shared" si="239"/>
        <v>0.3765</v>
      </c>
      <c r="CJ220" s="22">
        <f t="shared" si="240"/>
        <v>-566</v>
      </c>
      <c r="CK220" s="15">
        <f t="shared" si="246"/>
        <v>0</v>
      </c>
      <c r="CM220" s="22">
        <f t="shared" si="247"/>
        <v>-197774.74817741173</v>
      </c>
      <c r="CN220" s="15">
        <f t="shared" si="253"/>
        <v>-280.18089325133332</v>
      </c>
    </row>
    <row r="221" spans="1:92">
      <c r="A221" s="25">
        <v>2020</v>
      </c>
      <c r="B221" s="80">
        <v>43831</v>
      </c>
      <c r="C221" s="81">
        <f t="shared" si="217"/>
        <v>3.9451000000000001</v>
      </c>
      <c r="D221" s="82">
        <f t="shared" si="248"/>
        <v>4.063453</v>
      </c>
      <c r="E221" s="73">
        <f t="shared" ref="E221:E228" si="291">Z221</f>
        <v>-373.4056463870495</v>
      </c>
      <c r="F221" s="19">
        <f t="shared" ref="F221:F228" si="292">E221*D221</f>
        <v>-1517.3162940283955</v>
      </c>
      <c r="G221" s="19">
        <f t="shared" ref="G221:G228" si="293">U221</f>
        <v>-1177.5091162141966</v>
      </c>
      <c r="H221" s="19">
        <f t="shared" ref="H221:H228" si="294">G221-F221</f>
        <v>339.80717781419889</v>
      </c>
      <c r="I221" s="62"/>
      <c r="K221" s="15">
        <f>IF(B221&lt;=Dane_kredytowe!F$9,0,K220+1)</f>
        <v>141</v>
      </c>
      <c r="L221" s="83">
        <f t="shared" si="218"/>
        <v>-7.6E-3</v>
      </c>
      <c r="M221" s="84">
        <f>L221+Dane_kredytowe!F$12</f>
        <v>2.24E-2</v>
      </c>
      <c r="N221" s="79">
        <f>MAX(Dane_kredytowe!F$17+SUM(AA$5:AA220)-SUM(X$5:X221)+SUM(W$5:W221),0)</f>
        <v>67320.657789244331</v>
      </c>
      <c r="O221" s="85">
        <f>MAX(Dane_kredytowe!F$8+SUM(V$5:V220)-SUM(S$5:S221)+SUM(R$5:R220),0)</f>
        <v>212291.08082153718</v>
      </c>
      <c r="P221" s="67">
        <f t="shared" si="180"/>
        <v>360</v>
      </c>
      <c r="Q221" s="127" t="str">
        <f>IF(AND(K221&gt;0,K221&lt;=Dane_kredytowe!F$16),"tak","nie")</f>
        <v>nie</v>
      </c>
      <c r="R221" s="69"/>
      <c r="S221" s="86">
        <f>IF(Dane_kredytowe!F$19=B221,O220+V220,_xlfn.XLOOKUP(B221,Dane_kredytowe!M$9:M$18,Dane_kredytowe!N$9:N$18,0))</f>
        <v>0</v>
      </c>
      <c r="T221" s="71">
        <f t="shared" si="219"/>
        <v>-396.27668420020274</v>
      </c>
      <c r="U221" s="72">
        <f>IF(Q221="tak",T221,IF(P221-SUM(AB$5:AB221)+1&gt;0,IF(Dane_kredytowe!F$9&lt;B221,IF(SUM(AB$5:AB221)-Dane_kredytowe!F$16+1&gt;0,PMT(M221/12,P221+1-SUM(AB$5:AB221),O221),T221),0),0))</f>
        <v>-1177.5091162141966</v>
      </c>
      <c r="V221" s="72">
        <f t="shared" si="241"/>
        <v>-781.23243201399396</v>
      </c>
      <c r="W221" s="19" t="str">
        <f t="shared" si="242"/>
        <v xml:space="preserve"> </v>
      </c>
      <c r="X221" s="19">
        <f t="shared" si="266"/>
        <v>0</v>
      </c>
      <c r="Y221" s="73">
        <f t="shared" si="220"/>
        <v>-125.66522787325609</v>
      </c>
      <c r="Z221" s="19">
        <f>IF(P221-SUM(AB$5:AB221)+1&gt;0,IF(Dane_kredytowe!F$9&lt;B221,IF(SUM(AB$5:AB221)-Dane_kredytowe!F$16+1&gt;0,PMT(M221/12,P221+1-SUM(AB$5:AB221),N221),Y221),0),0)</f>
        <v>-373.4056463870495</v>
      </c>
      <c r="AA221" s="19">
        <f t="shared" ref="AA221:AA228" si="295">Z221-Y221</f>
        <v>-247.74041851379343</v>
      </c>
      <c r="AB221" s="20">
        <f>IF(AND(Dane_kredytowe!F$9&lt;B221,SUM(AB$5:AB220)&lt;P220),1," ")</f>
        <v>1</v>
      </c>
      <c r="AD221" s="75">
        <f>IF(OR(B221&lt;Dane_kredytowe!F$15,Dane_kredytowe!F$15=""),-F221+S221,0)</f>
        <v>0</v>
      </c>
      <c r="AE221" s="75">
        <f t="shared" si="221"/>
        <v>373.4056463870495</v>
      </c>
      <c r="AG221" s="22">
        <f>Dane_kredytowe!F$17-SUM(AI$5:AI220)+SUM(W$42:W221)-SUM(X$42:X221)</f>
        <v>58138.060000000063</v>
      </c>
      <c r="AH221" s="22">
        <f t="shared" si="222"/>
        <v>108.52</v>
      </c>
      <c r="AI221" s="22">
        <f t="shared" si="223"/>
        <v>264.26</v>
      </c>
      <c r="AJ221" s="22">
        <f t="shared" ref="AJ221:AJ228" si="296">AI221+AH221</f>
        <v>372.78</v>
      </c>
      <c r="AK221" s="22">
        <f t="shared" si="224"/>
        <v>1514.77</v>
      </c>
      <c r="AL221" s="22">
        <f>Dane_kredytowe!F$8-SUM(AN$5:AN220)+SUM(R$42:R220)-SUM(S$42:S221)</f>
        <v>183333.69999999984</v>
      </c>
      <c r="AM221" s="22">
        <f t="shared" si="225"/>
        <v>342.22</v>
      </c>
      <c r="AN221" s="22">
        <f t="shared" si="226"/>
        <v>833.33</v>
      </c>
      <c r="AO221" s="22">
        <f t="shared" ref="AO221:AO228" si="297">AN221+AM221</f>
        <v>1175.5500000000002</v>
      </c>
      <c r="AP221" s="22">
        <f t="shared" ref="AP221:AP228" si="298">AK221-AO221</f>
        <v>339.2199999999998</v>
      </c>
      <c r="AR221" s="87">
        <f t="shared" si="227"/>
        <v>43831</v>
      </c>
      <c r="AS221" s="23">
        <f>AS$5+SUM(AV$5:AV220)-SUM(X$5:X221)+SUM(W$5:W221)</f>
        <v>98401.353861841664</v>
      </c>
      <c r="AT221" s="22">
        <f t="shared" si="228"/>
        <v>-183.68252720877112</v>
      </c>
      <c r="AU221" s="22">
        <f>IF(AB221=1,IF(Q221="tak",AT221,PMT(M221/12,P221+1-SUM(AB$5:AB221),AS221)),0)</f>
        <v>-545.80009094938202</v>
      </c>
      <c r="AV221" s="22">
        <f t="shared" ref="AV221:AV228" si="299">AU221-AT221</f>
        <v>-362.11756374061088</v>
      </c>
      <c r="AW221" s="22">
        <f t="shared" si="229"/>
        <v>-2153.2359388044069</v>
      </c>
      <c r="AY221" s="23">
        <f>AY$5+SUM(BA$5:BA220)+SUM(W$5:W220)-SUM(X$5:X220)</f>
        <v>84978.471437842003</v>
      </c>
      <c r="AZ221" s="23">
        <f t="shared" si="230"/>
        <v>-183.68252720877112</v>
      </c>
      <c r="BA221" s="23">
        <f t="shared" si="231"/>
        <v>-386.27</v>
      </c>
      <c r="BB221" s="23">
        <f t="shared" ref="BB221:BB228" si="300">BA221+AZ221</f>
        <v>-569.95252720877113</v>
      </c>
      <c r="BC221" s="23">
        <f t="shared" si="232"/>
        <v>-2248.5197150913232</v>
      </c>
      <c r="BE221" s="88">
        <f t="shared" si="233"/>
        <v>1.7100000000000001E-2</v>
      </c>
      <c r="BF221" s="89">
        <f>BE221+Dane_kredytowe!F$12</f>
        <v>4.7100000000000003E-2</v>
      </c>
      <c r="BG221" s="23">
        <f>BG$5+SUM(BH$5:BH220)+SUM(R$5:R220)-SUM(S$5:S220)</f>
        <v>238521.85160596127</v>
      </c>
      <c r="BH221" s="22">
        <f t="shared" ref="BH221:BH228" si="301">IF(BJ221&lt;0,BJ221-BI221,0)</f>
        <v>-684.63500788347108</v>
      </c>
      <c r="BI221" s="22">
        <f t="shared" ref="BI221:BI228" si="302">IF(BJ221&lt;0,-BG221*BF221/12,0)</f>
        <v>-936.19826755339807</v>
      </c>
      <c r="BJ221" s="22">
        <f>IF(U221&lt;0,PMT(BF221/12,Dane_kredytowe!F$13-SUM(AB$5:AB221)+1,BG221),0)</f>
        <v>-1620.8332754368691</v>
      </c>
      <c r="BL221" s="23">
        <f>BL$5+SUM(BN$5:BN220)+SUM(R$5:R220)-SUM(S$5:S220)</f>
        <v>183333.33333333355</v>
      </c>
      <c r="BM221" s="23">
        <f t="shared" si="194"/>
        <v>-719.58333333333428</v>
      </c>
      <c r="BN221" s="23">
        <f t="shared" si="234"/>
        <v>-833.33333333333428</v>
      </c>
      <c r="BO221" s="23">
        <f t="shared" si="179"/>
        <v>-1552.9166666666686</v>
      </c>
      <c r="BQ221" s="89">
        <f t="shared" si="235"/>
        <v>3.3799999999999997E-2</v>
      </c>
      <c r="BR221" s="23">
        <f>BR$5+SUM(BS$5:BS220)+SUM(R$5:R220)-SUM(S$5:S220)+SUM(BV$5:BV220)</f>
        <v>273507.37158092018</v>
      </c>
      <c r="BS221" s="22">
        <f t="shared" si="249"/>
        <v>-899.25018634344963</v>
      </c>
      <c r="BT221" s="22">
        <f t="shared" si="250"/>
        <v>-770.37909661959168</v>
      </c>
      <c r="BU221" s="22">
        <f>IF(U221&lt;0,PMT(BQ221/12,Dane_kredytowe!F$13-SUM(AB$5:AB221)+1,BR221),0)</f>
        <v>-1669.6292829630413</v>
      </c>
      <c r="BV221" s="22">
        <f t="shared" si="243"/>
        <v>152.31298893464577</v>
      </c>
      <c r="BX221" s="23">
        <f>BX$5+SUM(BZ$5:BZ220)+SUM(R$5:R220)-SUM(S$5:S220)+SUM(CB$5,CB220)</f>
        <v>183062.69215986464</v>
      </c>
      <c r="BY221" s="22">
        <f t="shared" si="236"/>
        <v>-515.62658291695209</v>
      </c>
      <c r="BZ221" s="22">
        <f t="shared" si="237"/>
        <v>-832.10314618120287</v>
      </c>
      <c r="CA221" s="22">
        <f t="shared" si="251"/>
        <v>-1347.7297290981551</v>
      </c>
      <c r="CB221" s="22">
        <f t="shared" si="252"/>
        <v>-169.58656493024046</v>
      </c>
      <c r="CD221" s="22">
        <f>CD$5+SUM(CE$5:CE220)+SUM(R$5:R220)-SUM(S$5:S220)-SUM(CF$5:CF220)</f>
        <v>242833.71551447199</v>
      </c>
      <c r="CE221" s="22">
        <f t="shared" si="244"/>
        <v>515.62658291695209</v>
      </c>
      <c r="CF221" s="22">
        <f t="shared" si="238"/>
        <v>1517.3162940283955</v>
      </c>
      <c r="CG221" s="22">
        <f t="shared" si="245"/>
        <v>1001.6897111114434</v>
      </c>
      <c r="CI221" s="89">
        <f t="shared" si="239"/>
        <v>0.36420000000000002</v>
      </c>
      <c r="CJ221" s="22">
        <f t="shared" si="240"/>
        <v>-552.61</v>
      </c>
      <c r="CK221" s="15">
        <f t="shared" si="246"/>
        <v>0</v>
      </c>
      <c r="CM221" s="22">
        <f t="shared" si="247"/>
        <v>-199292.06447144013</v>
      </c>
      <c r="CN221" s="15">
        <f t="shared" si="253"/>
        <v>-283.99119187180219</v>
      </c>
    </row>
    <row r="222" spans="1:92">
      <c r="A222" s="25"/>
      <c r="B222" s="80">
        <v>43862</v>
      </c>
      <c r="C222" s="81">
        <f t="shared" si="217"/>
        <v>4.0166000000000004</v>
      </c>
      <c r="D222" s="82">
        <f t="shared" si="248"/>
        <v>4.1370980000000008</v>
      </c>
      <c r="E222" s="73">
        <f t="shared" si="291"/>
        <v>-373.40564638704961</v>
      </c>
      <c r="F222" s="19">
        <f t="shared" si="292"/>
        <v>-1544.8157528565705</v>
      </c>
      <c r="G222" s="19">
        <f t="shared" si="293"/>
        <v>-1177.5091162141966</v>
      </c>
      <c r="H222" s="19">
        <f t="shared" si="294"/>
        <v>367.30663664237386</v>
      </c>
      <c r="I222" s="62"/>
      <c r="K222" s="15">
        <f>IF(B222&lt;=Dane_kredytowe!F$9,0,K221+1)</f>
        <v>142</v>
      </c>
      <c r="L222" s="83">
        <f t="shared" si="218"/>
        <v>-7.6E-3</v>
      </c>
      <c r="M222" s="84">
        <f>L222+Dane_kredytowe!F$12</f>
        <v>2.24E-2</v>
      </c>
      <c r="N222" s="79">
        <f>MAX(Dane_kredytowe!F$17+SUM(AA$5:AA221)-SUM(X$5:X222)+SUM(W$5:W222),0)</f>
        <v>67072.917370730545</v>
      </c>
      <c r="O222" s="85">
        <f>MAX(Dane_kredytowe!F$8+SUM(V$5:V221)-SUM(S$5:S222)+SUM(R$5:R221),0)</f>
        <v>211509.84838952319</v>
      </c>
      <c r="P222" s="67">
        <f t="shared" si="180"/>
        <v>360</v>
      </c>
      <c r="Q222" s="127" t="str">
        <f>IF(AND(K222&gt;0,K222&lt;=Dane_kredytowe!F$16),"tak","nie")</f>
        <v>nie</v>
      </c>
      <c r="R222" s="69"/>
      <c r="S222" s="86">
        <f>IF(Dane_kredytowe!F$19=B222,O221+V221,_xlfn.XLOOKUP(B222,Dane_kredytowe!M$9:M$18,Dane_kredytowe!N$9:N$18,0))</f>
        <v>0</v>
      </c>
      <c r="T222" s="71">
        <f t="shared" si="219"/>
        <v>-394.81838366044326</v>
      </c>
      <c r="U222" s="72">
        <f>IF(Q222="tak",T222,IF(P222-SUM(AB$5:AB222)+1&gt;0,IF(Dane_kredytowe!F$9&lt;B222,IF(SUM(AB$5:AB222)-Dane_kredytowe!F$16+1&gt;0,PMT(M222/12,P222+1-SUM(AB$5:AB222),O222),T222),0),0))</f>
        <v>-1177.5091162141966</v>
      </c>
      <c r="V222" s="72">
        <f t="shared" si="241"/>
        <v>-782.69073255375338</v>
      </c>
      <c r="W222" s="19" t="str">
        <f t="shared" si="242"/>
        <v xml:space="preserve"> </v>
      </c>
      <c r="X222" s="19">
        <f t="shared" si="266"/>
        <v>0</v>
      </c>
      <c r="Y222" s="73">
        <f t="shared" si="220"/>
        <v>-125.20277909203035</v>
      </c>
      <c r="Z222" s="19">
        <f>IF(P222-SUM(AB$5:AB222)+1&gt;0,IF(Dane_kredytowe!F$9&lt;B222,IF(SUM(AB$5:AB222)-Dane_kredytowe!F$16+1&gt;0,PMT(M222/12,P222+1-SUM(AB$5:AB222),N222),Y222),0),0)</f>
        <v>-373.40564638704961</v>
      </c>
      <c r="AA222" s="19">
        <f t="shared" si="295"/>
        <v>-248.20286729501925</v>
      </c>
      <c r="AB222" s="20">
        <f>IF(AND(Dane_kredytowe!F$9&lt;B222,SUM(AB$5:AB221)&lt;P221),1," ")</f>
        <v>1</v>
      </c>
      <c r="AD222" s="75">
        <f>IF(OR(B222&lt;Dane_kredytowe!F$15,Dane_kredytowe!F$15=""),-F222+S222,0)</f>
        <v>0</v>
      </c>
      <c r="AE222" s="75">
        <f t="shared" si="221"/>
        <v>373.40564638704961</v>
      </c>
      <c r="AG222" s="22">
        <f>Dane_kredytowe!F$17-SUM(AI$5:AI221)+SUM(W$42:W222)-SUM(X$42:X222)</f>
        <v>57873.800000000061</v>
      </c>
      <c r="AH222" s="22">
        <f t="shared" si="222"/>
        <v>108.03</v>
      </c>
      <c r="AI222" s="22">
        <f t="shared" si="223"/>
        <v>264.26</v>
      </c>
      <c r="AJ222" s="22">
        <f t="shared" si="296"/>
        <v>372.28999999999996</v>
      </c>
      <c r="AK222" s="22">
        <f t="shared" si="224"/>
        <v>1540.2</v>
      </c>
      <c r="AL222" s="22">
        <f>Dane_kredytowe!F$8-SUM(AN$5:AN221)+SUM(R$42:R221)-SUM(S$42:S222)</f>
        <v>182500.36999999985</v>
      </c>
      <c r="AM222" s="22">
        <f t="shared" si="225"/>
        <v>340.67</v>
      </c>
      <c r="AN222" s="22">
        <f t="shared" si="226"/>
        <v>833.34</v>
      </c>
      <c r="AO222" s="22">
        <f t="shared" si="297"/>
        <v>1174.01</v>
      </c>
      <c r="AP222" s="22">
        <f t="shared" si="298"/>
        <v>366.19000000000005</v>
      </c>
      <c r="AR222" s="87">
        <f t="shared" si="227"/>
        <v>43862</v>
      </c>
      <c r="AS222" s="23">
        <f>AS$5+SUM(AV$5:AV221)-SUM(X$5:X222)+SUM(W$5:W222)</f>
        <v>98039.236298101052</v>
      </c>
      <c r="AT222" s="22">
        <f t="shared" si="228"/>
        <v>-183.00657442312195</v>
      </c>
      <c r="AU222" s="22">
        <f>IF(AB222=1,IF(Q222="tak",AT222,PMT(M222/12,P222+1-SUM(AB$5:AB222),AS222)),0)</f>
        <v>-545.80009094938202</v>
      </c>
      <c r="AV222" s="22">
        <f t="shared" si="299"/>
        <v>-362.79351652626008</v>
      </c>
      <c r="AW222" s="22">
        <f t="shared" si="229"/>
        <v>-2192.2606453072881</v>
      </c>
      <c r="AY222" s="23">
        <f>AY$5+SUM(BA$5:BA221)+SUM(W$5:W221)-SUM(X$5:X221)</f>
        <v>84592.201437841999</v>
      </c>
      <c r="AZ222" s="23">
        <f t="shared" si="230"/>
        <v>-183.00657442312195</v>
      </c>
      <c r="BA222" s="23">
        <f t="shared" si="231"/>
        <v>-386.27</v>
      </c>
      <c r="BB222" s="23">
        <f t="shared" si="300"/>
        <v>-569.27657442312193</v>
      </c>
      <c r="BC222" s="23">
        <f t="shared" si="232"/>
        <v>-2286.5562888279119</v>
      </c>
      <c r="BE222" s="88">
        <f t="shared" si="233"/>
        <v>1.7100000000000001E-2</v>
      </c>
      <c r="BF222" s="89">
        <f>BE222+Dane_kredytowe!F$12</f>
        <v>4.7100000000000003E-2</v>
      </c>
      <c r="BG222" s="23">
        <f>BG$5+SUM(BH$5:BH221)+SUM(R$5:R221)-SUM(S$5:S221)</f>
        <v>237837.21659807779</v>
      </c>
      <c r="BH222" s="22">
        <f t="shared" si="301"/>
        <v>-687.32220028941401</v>
      </c>
      <c r="BI222" s="22">
        <f t="shared" si="302"/>
        <v>-933.51107514745536</v>
      </c>
      <c r="BJ222" s="22">
        <f>IF(U222&lt;0,PMT(BF222/12,Dane_kredytowe!F$13-SUM(AB$5:AB222)+1,BG222),0)</f>
        <v>-1620.8332754368694</v>
      </c>
      <c r="BL222" s="23">
        <f>BL$5+SUM(BN$5:BN221)+SUM(R$5:R221)-SUM(S$5:S221)</f>
        <v>182500.00000000023</v>
      </c>
      <c r="BM222" s="23">
        <f t="shared" si="194"/>
        <v>-716.31250000000091</v>
      </c>
      <c r="BN222" s="23">
        <f t="shared" si="234"/>
        <v>-833.33333333333439</v>
      </c>
      <c r="BO222" s="23">
        <f t="shared" si="179"/>
        <v>-1549.6458333333353</v>
      </c>
      <c r="BQ222" s="89">
        <f t="shared" si="235"/>
        <v>3.3799999999999997E-2</v>
      </c>
      <c r="BR222" s="23">
        <f>BR$5+SUM(BS$5:BS221)+SUM(R$5:R221)-SUM(S$5:S221)+SUM(BV$5:BV221)</f>
        <v>272760.43438351143</v>
      </c>
      <c r="BS222" s="22">
        <f t="shared" si="249"/>
        <v>-902.2869231704916</v>
      </c>
      <c r="BT222" s="22">
        <f t="shared" si="250"/>
        <v>-768.27522351355708</v>
      </c>
      <c r="BU222" s="22">
        <f>IF(U222&lt;0,PMT(BQ222/12,Dane_kredytowe!F$13-SUM(AB$5:AB222)+1,BR222),0)</f>
        <v>-1670.5621466840487</v>
      </c>
      <c r="BV222" s="22">
        <f t="shared" si="243"/>
        <v>125.74639382747819</v>
      </c>
      <c r="BX222" s="23">
        <f>BX$5+SUM(BZ$5:BZ221)+SUM(R$5:R221)-SUM(S$5:S221)+SUM(CB$5,CB221)</f>
        <v>182215.72988011624</v>
      </c>
      <c r="BY222" s="22">
        <f t="shared" si="236"/>
        <v>-513.24097249566069</v>
      </c>
      <c r="BZ222" s="22">
        <f t="shared" si="237"/>
        <v>-832.03529625623855</v>
      </c>
      <c r="CA222" s="22">
        <f t="shared" si="251"/>
        <v>-1345.2762687518994</v>
      </c>
      <c r="CB222" s="22">
        <f t="shared" si="252"/>
        <v>-199.53948410467115</v>
      </c>
      <c r="CD222" s="22">
        <f>CD$5+SUM(CE$5:CE221)+SUM(R$5:R221)-SUM(S$5:S221)-SUM(CF$5:CF221)</f>
        <v>241832.02580336054</v>
      </c>
      <c r="CE222" s="22">
        <f t="shared" si="244"/>
        <v>513.24097249566069</v>
      </c>
      <c r="CF222" s="22">
        <f t="shared" si="238"/>
        <v>1544.8157528565705</v>
      </c>
      <c r="CG222" s="22">
        <f t="shared" si="245"/>
        <v>1031.5747803609097</v>
      </c>
      <c r="CI222" s="89">
        <f t="shared" si="239"/>
        <v>0.35470000000000002</v>
      </c>
      <c r="CJ222" s="22">
        <f t="shared" si="240"/>
        <v>-547.95000000000005</v>
      </c>
      <c r="CK222" s="15">
        <f t="shared" si="246"/>
        <v>0</v>
      </c>
      <c r="CM222" s="22">
        <f t="shared" si="247"/>
        <v>-200836.88022429671</v>
      </c>
      <c r="CN222" s="15">
        <f t="shared" si="253"/>
        <v>-286.19255431962284</v>
      </c>
    </row>
    <row r="223" spans="1:92">
      <c r="A223" s="25"/>
      <c r="B223" s="80">
        <v>43891</v>
      </c>
      <c r="C223" s="81">
        <f t="shared" si="217"/>
        <v>4.1891999999999996</v>
      </c>
      <c r="D223" s="82">
        <f t="shared" si="248"/>
        <v>4.3148759999999999</v>
      </c>
      <c r="E223" s="73">
        <f t="shared" si="291"/>
        <v>-373.4056463870495</v>
      </c>
      <c r="F223" s="19">
        <f t="shared" si="292"/>
        <v>-1611.1990618599666</v>
      </c>
      <c r="G223" s="19">
        <f t="shared" si="293"/>
        <v>-1177.5091162141966</v>
      </c>
      <c r="H223" s="19">
        <f t="shared" si="294"/>
        <v>433.68994564576997</v>
      </c>
      <c r="I223" s="62"/>
      <c r="K223" s="15">
        <f>IF(B223&lt;=Dane_kredytowe!F$9,0,K222+1)</f>
        <v>143</v>
      </c>
      <c r="L223" s="83">
        <f t="shared" si="218"/>
        <v>-7.6E-3</v>
      </c>
      <c r="M223" s="84">
        <f>L223+Dane_kredytowe!F$12</f>
        <v>2.24E-2</v>
      </c>
      <c r="N223" s="79">
        <f>MAX(Dane_kredytowe!F$17+SUM(AA$5:AA222)-SUM(X$5:X223)+SUM(W$5:W223),0)</f>
        <v>66824.71450343552</v>
      </c>
      <c r="O223" s="85">
        <f>MAX(Dane_kredytowe!F$8+SUM(V$5:V222)-SUM(S$5:S223)+SUM(R$5:R222),0)</f>
        <v>210727.15765696944</v>
      </c>
      <c r="P223" s="67">
        <f t="shared" si="180"/>
        <v>360</v>
      </c>
      <c r="Q223" s="127" t="str">
        <f>IF(AND(K223&gt;0,K223&lt;=Dane_kredytowe!F$16),"tak","nie")</f>
        <v>nie</v>
      </c>
      <c r="R223" s="69"/>
      <c r="S223" s="86">
        <f>IF(Dane_kredytowe!F$19=B223,O222+V222,_xlfn.XLOOKUP(B223,Dane_kredytowe!M$9:M$18,Dane_kredytowe!N$9:N$18,0))</f>
        <v>0</v>
      </c>
      <c r="T223" s="71">
        <f t="shared" si="219"/>
        <v>-393.35736095967627</v>
      </c>
      <c r="U223" s="72">
        <f>IF(Q223="tak",T223,IF(P223-SUM(AB$5:AB223)+1&gt;0,IF(Dane_kredytowe!F$9&lt;B223,IF(SUM(AB$5:AB223)-Dane_kredytowe!F$16+1&gt;0,PMT(M223/12,P223+1-SUM(AB$5:AB223),O223),T223),0),0))</f>
        <v>-1177.5091162141966</v>
      </c>
      <c r="V223" s="72">
        <f t="shared" si="241"/>
        <v>-784.15175525452037</v>
      </c>
      <c r="W223" s="19" t="str">
        <f t="shared" si="242"/>
        <v xml:space="preserve"> </v>
      </c>
      <c r="X223" s="19">
        <f t="shared" si="266"/>
        <v>0</v>
      </c>
      <c r="Y223" s="73">
        <f t="shared" si="220"/>
        <v>-124.73946707307964</v>
      </c>
      <c r="Z223" s="19">
        <f>IF(P223-SUM(AB$5:AB223)+1&gt;0,IF(Dane_kredytowe!F$9&lt;B223,IF(SUM(AB$5:AB223)-Dane_kredytowe!F$16+1&gt;0,PMT(M223/12,P223+1-SUM(AB$5:AB223),N223),Y223),0),0)</f>
        <v>-373.4056463870495</v>
      </c>
      <c r="AA223" s="19">
        <f t="shared" si="295"/>
        <v>-248.66617931396985</v>
      </c>
      <c r="AB223" s="20">
        <f>IF(AND(Dane_kredytowe!F$9&lt;B223,SUM(AB$5:AB222)&lt;P222),1," ")</f>
        <v>1</v>
      </c>
      <c r="AD223" s="75">
        <f>IF(OR(B223&lt;Dane_kredytowe!F$15,Dane_kredytowe!F$15=""),-F223+S223,0)</f>
        <v>0</v>
      </c>
      <c r="AE223" s="75">
        <f t="shared" si="221"/>
        <v>373.4056463870495</v>
      </c>
      <c r="AG223" s="22">
        <f>Dane_kredytowe!F$17-SUM(AI$5:AI222)+SUM(W$42:W223)-SUM(X$42:X223)</f>
        <v>57609.540000000059</v>
      </c>
      <c r="AH223" s="22">
        <f t="shared" si="222"/>
        <v>107.54</v>
      </c>
      <c r="AI223" s="22">
        <f t="shared" si="223"/>
        <v>264.26</v>
      </c>
      <c r="AJ223" s="22">
        <f t="shared" si="296"/>
        <v>371.8</v>
      </c>
      <c r="AK223" s="22">
        <f t="shared" si="224"/>
        <v>1604.27</v>
      </c>
      <c r="AL223" s="22">
        <f>Dane_kredytowe!F$8-SUM(AN$5:AN222)+SUM(R$42:R222)-SUM(S$42:S223)</f>
        <v>181667.02999999985</v>
      </c>
      <c r="AM223" s="22">
        <f t="shared" si="225"/>
        <v>339.11</v>
      </c>
      <c r="AN223" s="22">
        <f t="shared" si="226"/>
        <v>833.33</v>
      </c>
      <c r="AO223" s="22">
        <f t="shared" si="297"/>
        <v>1172.44</v>
      </c>
      <c r="AP223" s="22">
        <f t="shared" si="298"/>
        <v>431.82999999999993</v>
      </c>
      <c r="AR223" s="87">
        <f t="shared" si="227"/>
        <v>43891</v>
      </c>
      <c r="AS223" s="23">
        <f>AS$5+SUM(AV$5:AV222)-SUM(X$5:X223)+SUM(W$5:W223)</f>
        <v>97676.442781574791</v>
      </c>
      <c r="AT223" s="22">
        <f t="shared" si="228"/>
        <v>-182.3293598589396</v>
      </c>
      <c r="AU223" s="22">
        <f>IF(AB223=1,IF(Q223="tak",AT223,PMT(M223/12,P223+1-SUM(AB$5:AB223),AS223)),0)</f>
        <v>-545.80009094938191</v>
      </c>
      <c r="AV223" s="22">
        <f t="shared" si="299"/>
        <v>-363.47073109044231</v>
      </c>
      <c r="AW223" s="22">
        <f t="shared" si="229"/>
        <v>-2286.4657410051504</v>
      </c>
      <c r="AY223" s="23">
        <f>AY$5+SUM(BA$5:BA222)+SUM(W$5:W222)-SUM(X$5:X222)</f>
        <v>84205.931437841995</v>
      </c>
      <c r="AZ223" s="23">
        <f t="shared" si="230"/>
        <v>-182.3293598589396</v>
      </c>
      <c r="BA223" s="23">
        <f t="shared" si="231"/>
        <v>-386.27</v>
      </c>
      <c r="BB223" s="23">
        <f t="shared" si="300"/>
        <v>-568.59935985893958</v>
      </c>
      <c r="BC223" s="23">
        <f t="shared" si="232"/>
        <v>-2381.9764383210695</v>
      </c>
      <c r="BE223" s="88">
        <f t="shared" si="233"/>
        <v>1.4500000000000001E-2</v>
      </c>
      <c r="BF223" s="89">
        <f>BE223+Dane_kredytowe!F$12</f>
        <v>4.4499999999999998E-2</v>
      </c>
      <c r="BG223" s="23">
        <f>BG$5+SUM(BH$5:BH222)+SUM(R$5:R222)-SUM(S$5:S222)</f>
        <v>237149.89439778839</v>
      </c>
      <c r="BH223" s="22">
        <f t="shared" si="301"/>
        <v>-708.64793256651808</v>
      </c>
      <c r="BI223" s="22">
        <f t="shared" si="302"/>
        <v>-879.43085839179855</v>
      </c>
      <c r="BJ223" s="22">
        <f>IF(U223&lt;0,PMT(BF223/12,Dane_kredytowe!F$13-SUM(AB$5:AB223)+1,BG223),0)</f>
        <v>-1588.0787909583166</v>
      </c>
      <c r="BL223" s="23">
        <f>BL$5+SUM(BN$5:BN222)+SUM(R$5:R222)-SUM(S$5:S222)</f>
        <v>181666.66666666692</v>
      </c>
      <c r="BM223" s="23">
        <f t="shared" si="194"/>
        <v>-673.68055555555645</v>
      </c>
      <c r="BN223" s="23">
        <f t="shared" si="234"/>
        <v>-833.33333333333451</v>
      </c>
      <c r="BO223" s="23">
        <f t="shared" si="179"/>
        <v>-1507.013888888891</v>
      </c>
      <c r="BQ223" s="89">
        <f t="shared" si="235"/>
        <v>3.1199999999999999E-2</v>
      </c>
      <c r="BR223" s="23">
        <f>BR$5+SUM(BS$5:BS222)+SUM(R$5:R222)-SUM(S$5:S222)+SUM(BV$5:BV222)</f>
        <v>271983.89385416842</v>
      </c>
      <c r="BS223" s="22">
        <f t="shared" si="249"/>
        <v>-928.85598768432453</v>
      </c>
      <c r="BT223" s="22">
        <f t="shared" si="250"/>
        <v>-707.15812402083782</v>
      </c>
      <c r="BU223" s="22">
        <f>IF(U223&lt;0,PMT(BQ223/12,Dane_kredytowe!F$13-SUM(AB$5:AB223)+1,BR223),0)</f>
        <v>-1636.0141117051623</v>
      </c>
      <c r="BV223" s="22">
        <f t="shared" si="243"/>
        <v>24.815049845195745</v>
      </c>
      <c r="BX223" s="23">
        <f>BX$5+SUM(BZ$5:BZ222)+SUM(R$5:R222)-SUM(S$5:S222)+SUM(CB$5,CB222)</f>
        <v>181353.7416646856</v>
      </c>
      <c r="BY223" s="22">
        <f t="shared" si="236"/>
        <v>-471.51972832818251</v>
      </c>
      <c r="BZ223" s="22">
        <f t="shared" si="237"/>
        <v>-831.89789754442938</v>
      </c>
      <c r="CA223" s="22">
        <f t="shared" si="251"/>
        <v>-1303.417625872612</v>
      </c>
      <c r="CB223" s="22">
        <f t="shared" si="252"/>
        <v>-307.7814359873546</v>
      </c>
      <c r="CD223" s="22">
        <f>CD$5+SUM(CE$5:CE222)+SUM(R$5:R222)-SUM(S$5:S222)-SUM(CF$5:CF222)</f>
        <v>240800.45102299965</v>
      </c>
      <c r="CE223" s="22">
        <f t="shared" si="244"/>
        <v>471.51972832818251</v>
      </c>
      <c r="CF223" s="22">
        <f t="shared" si="238"/>
        <v>1611.1990618599666</v>
      </c>
      <c r="CG223" s="22">
        <f t="shared" si="245"/>
        <v>1139.6793335317841</v>
      </c>
      <c r="CI223" s="89">
        <f t="shared" si="239"/>
        <v>0.35199999999999998</v>
      </c>
      <c r="CJ223" s="22">
        <f t="shared" si="240"/>
        <v>-567.14</v>
      </c>
      <c r="CK223" s="15">
        <f t="shared" si="246"/>
        <v>0</v>
      </c>
      <c r="CM223" s="22">
        <f t="shared" si="247"/>
        <v>-202448.07928615669</v>
      </c>
      <c r="CN223" s="15">
        <f t="shared" si="253"/>
        <v>-244.62476247077268</v>
      </c>
    </row>
    <row r="224" spans="1:92">
      <c r="A224" s="25"/>
      <c r="B224" s="80">
        <v>43922</v>
      </c>
      <c r="C224" s="81">
        <f t="shared" si="217"/>
        <v>4.3106999999999998</v>
      </c>
      <c r="D224" s="82">
        <f t="shared" si="248"/>
        <v>4.4400209999999998</v>
      </c>
      <c r="E224" s="73">
        <f t="shared" si="291"/>
        <v>-376.57262019857916</v>
      </c>
      <c r="F224" s="19">
        <f t="shared" si="292"/>
        <v>-1671.9903417067155</v>
      </c>
      <c r="G224" s="19">
        <f t="shared" si="293"/>
        <v>-1187.4959510946267</v>
      </c>
      <c r="H224" s="19">
        <f t="shared" si="294"/>
        <v>484.49439061208886</v>
      </c>
      <c r="I224" s="62"/>
      <c r="K224" s="15">
        <f>IF(B224&lt;=Dane_kredytowe!F$9,0,K223+1)</f>
        <v>144</v>
      </c>
      <c r="L224" s="83">
        <f t="shared" si="218"/>
        <v>-6.6E-3</v>
      </c>
      <c r="M224" s="84">
        <f>L224+Dane_kredytowe!F$12</f>
        <v>2.3399999999999997E-2</v>
      </c>
      <c r="N224" s="79">
        <f>MAX(Dane_kredytowe!F$17+SUM(AA$5:AA223)-SUM(X$5:X224)+SUM(W$5:W224),0)</f>
        <v>66576.048324121555</v>
      </c>
      <c r="O224" s="85">
        <f>MAX(Dane_kredytowe!F$8+SUM(V$5:V223)-SUM(S$5:S224)+SUM(R$5:R223),0)</f>
        <v>209943.0059017149</v>
      </c>
      <c r="P224" s="67">
        <f t="shared" si="180"/>
        <v>360</v>
      </c>
      <c r="Q224" s="127" t="str">
        <f>IF(AND(K224&gt;0,K224&lt;=Dane_kredytowe!F$16),"tak","nie")</f>
        <v>nie</v>
      </c>
      <c r="R224" s="69"/>
      <c r="S224" s="86">
        <f>IF(Dane_kredytowe!F$19=B224,O223+V223,_xlfn.XLOOKUP(B224,Dane_kredytowe!M$9:M$18,Dane_kredytowe!N$9:N$18,0))</f>
        <v>0</v>
      </c>
      <c r="T224" s="71">
        <f t="shared" si="219"/>
        <v>-409.38886150834401</v>
      </c>
      <c r="U224" s="72">
        <f>IF(Q224="tak",T224,IF(P224-SUM(AB$5:AB224)+1&gt;0,IF(Dane_kredytowe!F$9&lt;B224,IF(SUM(AB$5:AB224)-Dane_kredytowe!F$16+1&gt;0,PMT(M224/12,P224+1-SUM(AB$5:AB224),O224),T224),0),0))</f>
        <v>-1187.4959510946267</v>
      </c>
      <c r="V224" s="72">
        <f t="shared" si="241"/>
        <v>-778.10708958628265</v>
      </c>
      <c r="W224" s="19" t="str">
        <f t="shared" si="242"/>
        <v xml:space="preserve"> </v>
      </c>
      <c r="X224" s="19">
        <f t="shared" si="266"/>
        <v>0</v>
      </c>
      <c r="Y224" s="73">
        <f t="shared" si="220"/>
        <v>-129.823294232037</v>
      </c>
      <c r="Z224" s="19">
        <f>IF(P224-SUM(AB$5:AB224)+1&gt;0,IF(Dane_kredytowe!F$9&lt;B224,IF(SUM(AB$5:AB224)-Dane_kredytowe!F$16+1&gt;0,PMT(M224/12,P224+1-SUM(AB$5:AB224),N224),Y224),0),0)</f>
        <v>-376.57262019857916</v>
      </c>
      <c r="AA224" s="19">
        <f t="shared" si="295"/>
        <v>-246.74932596654216</v>
      </c>
      <c r="AB224" s="20">
        <f>IF(AND(Dane_kredytowe!F$9&lt;B224,SUM(AB$5:AB223)&lt;P223),1," ")</f>
        <v>1</v>
      </c>
      <c r="AD224" s="75">
        <f>IF(OR(B224&lt;Dane_kredytowe!F$15,Dane_kredytowe!F$15=""),-F224+S224,0)</f>
        <v>0</v>
      </c>
      <c r="AE224" s="75">
        <f t="shared" si="221"/>
        <v>376.57262019857916</v>
      </c>
      <c r="AG224" s="22">
        <f>Dane_kredytowe!F$17-SUM(AI$5:AI223)+SUM(W$42:W224)-SUM(X$42:X224)</f>
        <v>57345.280000000057</v>
      </c>
      <c r="AH224" s="22">
        <f t="shared" si="222"/>
        <v>111.82</v>
      </c>
      <c r="AI224" s="22">
        <f t="shared" si="223"/>
        <v>264.26</v>
      </c>
      <c r="AJ224" s="22">
        <f t="shared" si="296"/>
        <v>376.08</v>
      </c>
      <c r="AK224" s="22">
        <f t="shared" si="224"/>
        <v>1669.8</v>
      </c>
      <c r="AL224" s="22">
        <f>Dane_kredytowe!F$8-SUM(AN$5:AN223)+SUM(R$42:R223)-SUM(S$42:S224)</f>
        <v>180833.69999999984</v>
      </c>
      <c r="AM224" s="22">
        <f t="shared" si="225"/>
        <v>352.63</v>
      </c>
      <c r="AN224" s="22">
        <f t="shared" si="226"/>
        <v>833.34</v>
      </c>
      <c r="AO224" s="22">
        <f t="shared" si="297"/>
        <v>1185.97</v>
      </c>
      <c r="AP224" s="22">
        <f t="shared" si="298"/>
        <v>483.82999999999993</v>
      </c>
      <c r="AR224" s="87">
        <f t="shared" si="227"/>
        <v>43922</v>
      </c>
      <c r="AS224" s="23">
        <f>AS$5+SUM(AV$5:AV223)-SUM(X$5:X224)+SUM(W$5:W224)</f>
        <v>97312.972050484357</v>
      </c>
      <c r="AT224" s="22">
        <f t="shared" si="228"/>
        <v>-189.76029549844449</v>
      </c>
      <c r="AU224" s="22">
        <f>IF(AB224=1,IF(Q224="tak",AT224,PMT(M224/12,P224+1-SUM(AB$5:AB224),AS224)),0)</f>
        <v>-550.42919768917534</v>
      </c>
      <c r="AV224" s="22">
        <f t="shared" si="299"/>
        <v>-360.66890219073082</v>
      </c>
      <c r="AW224" s="22">
        <f t="shared" si="229"/>
        <v>-2372.735142478728</v>
      </c>
      <c r="AY224" s="23">
        <f>AY$5+SUM(BA$5:BA223)+SUM(W$5:W223)-SUM(X$5:X223)</f>
        <v>83819.661437842005</v>
      </c>
      <c r="AZ224" s="23">
        <f t="shared" si="230"/>
        <v>-189.76029549844449</v>
      </c>
      <c r="BA224" s="23">
        <f t="shared" si="231"/>
        <v>-386.27</v>
      </c>
      <c r="BB224" s="23">
        <f t="shared" si="300"/>
        <v>-576.0302954984445</v>
      </c>
      <c r="BC224" s="23">
        <f t="shared" si="232"/>
        <v>-2483.0937948051446</v>
      </c>
      <c r="BE224" s="88">
        <f t="shared" si="233"/>
        <v>8.3000000000000001E-3</v>
      </c>
      <c r="BF224" s="89">
        <f>BE224+Dane_kredytowe!F$12</f>
        <v>3.8300000000000001E-2</v>
      </c>
      <c r="BG224" s="23">
        <f>BG$5+SUM(BH$5:BH223)+SUM(R$5:R223)-SUM(S$5:S223)</f>
        <v>236441.24646522186</v>
      </c>
      <c r="BH224" s="22">
        <f t="shared" si="301"/>
        <v>-757.15092520055896</v>
      </c>
      <c r="BI224" s="22">
        <f t="shared" si="302"/>
        <v>-754.64164496816647</v>
      </c>
      <c r="BJ224" s="22">
        <f>IF(U224&lt;0,PMT(BF224/12,Dane_kredytowe!F$13-SUM(AB$5:AB224)+1,BG224),0)</f>
        <v>-1511.7925701687254</v>
      </c>
      <c r="BL224" s="23">
        <f>BL$5+SUM(BN$5:BN223)+SUM(R$5:R223)-SUM(S$5:S223)</f>
        <v>180833.33333333358</v>
      </c>
      <c r="BM224" s="23">
        <f t="shared" si="194"/>
        <v>-577.15972222222297</v>
      </c>
      <c r="BN224" s="23">
        <f t="shared" si="234"/>
        <v>-833.33333333333439</v>
      </c>
      <c r="BO224" s="23">
        <f t="shared" si="179"/>
        <v>-1410.4930555555575</v>
      </c>
      <c r="BQ224" s="89">
        <f t="shared" si="235"/>
        <v>2.5000000000000001E-2</v>
      </c>
      <c r="BR224" s="23">
        <f>BR$5+SUM(BS$5:BS223)+SUM(R$5:R223)-SUM(S$5:S223)+SUM(BV$5:BV223)</f>
        <v>271079.85291632928</v>
      </c>
      <c r="BS224" s="22">
        <f t="shared" si="249"/>
        <v>-989.32401041121648</v>
      </c>
      <c r="BT224" s="22">
        <f t="shared" si="250"/>
        <v>-564.74969357568602</v>
      </c>
      <c r="BU224" s="22">
        <f>IF(U224&lt;0,PMT(BQ224/12,Dane_kredytowe!F$13-SUM(AB$5:AB224)+1,BR224),0)</f>
        <v>-1554.0737039869025</v>
      </c>
      <c r="BV224" s="22">
        <f t="shared" si="243"/>
        <v>-117.91663771981302</v>
      </c>
      <c r="BX224" s="23">
        <f>BX$5+SUM(BZ$5:BZ223)+SUM(R$5:R223)-SUM(S$5:S223)+SUM(CB$5,CB223)</f>
        <v>180413.60181525847</v>
      </c>
      <c r="BY224" s="22">
        <f t="shared" si="236"/>
        <v>-375.86167044845519</v>
      </c>
      <c r="BZ224" s="22">
        <f t="shared" si="237"/>
        <v>-831.39908670626028</v>
      </c>
      <c r="CA224" s="22">
        <f t="shared" si="251"/>
        <v>-1207.2607571547155</v>
      </c>
      <c r="CB224" s="22">
        <f t="shared" si="252"/>
        <v>-464.72958455200001</v>
      </c>
      <c r="CD224" s="22">
        <f>CD$5+SUM(CE$5:CE223)+SUM(R$5:R223)-SUM(S$5:S223)-SUM(CF$5:CF223)</f>
        <v>239660.77168946783</v>
      </c>
      <c r="CE224" s="22">
        <f t="shared" si="244"/>
        <v>375.86167044845519</v>
      </c>
      <c r="CF224" s="22">
        <f t="shared" si="238"/>
        <v>1671.9903417067155</v>
      </c>
      <c r="CG224" s="22">
        <f t="shared" si="245"/>
        <v>1296.1286712582603</v>
      </c>
      <c r="CI224" s="89">
        <f t="shared" si="239"/>
        <v>0.3533</v>
      </c>
      <c r="CJ224" s="22">
        <f t="shared" si="240"/>
        <v>-590.71</v>
      </c>
      <c r="CK224" s="15">
        <f t="shared" si="246"/>
        <v>0</v>
      </c>
      <c r="CM224" s="22">
        <f t="shared" si="247"/>
        <v>-204120.06962786341</v>
      </c>
      <c r="CN224" s="15">
        <f t="shared" si="253"/>
        <v>-141.1830481592722</v>
      </c>
    </row>
    <row r="225" spans="1:92">
      <c r="A225" s="25"/>
      <c r="B225" s="80">
        <v>43952</v>
      </c>
      <c r="C225" s="81">
        <f t="shared" si="217"/>
        <v>4.2838000000000003</v>
      </c>
      <c r="D225" s="82">
        <f t="shared" si="248"/>
        <v>4.4123140000000003</v>
      </c>
      <c r="E225" s="73">
        <f t="shared" si="291"/>
        <v>-376.57262019857905</v>
      </c>
      <c r="F225" s="19">
        <f t="shared" si="292"/>
        <v>-1661.5566441188732</v>
      </c>
      <c r="G225" s="19">
        <f t="shared" si="293"/>
        <v>-1187.4959510946267</v>
      </c>
      <c r="H225" s="19">
        <f t="shared" si="294"/>
        <v>474.06069302424658</v>
      </c>
      <c r="I225" s="62"/>
      <c r="K225" s="15">
        <f>IF(B225&lt;=Dane_kredytowe!F$9,0,K224+1)</f>
        <v>145</v>
      </c>
      <c r="L225" s="83">
        <f t="shared" si="218"/>
        <v>-6.6E-3</v>
      </c>
      <c r="M225" s="84">
        <f>L225+Dane_kredytowe!F$12</f>
        <v>2.3399999999999997E-2</v>
      </c>
      <c r="N225" s="79">
        <f>MAX(Dane_kredytowe!F$17+SUM(AA$5:AA224)-SUM(X$5:X225)+SUM(W$5:W225),0)</f>
        <v>66329.298998155005</v>
      </c>
      <c r="O225" s="85">
        <f>MAX(Dane_kredytowe!F$8+SUM(V$5:V224)-SUM(S$5:S225)+SUM(R$5:R224),0)</f>
        <v>209164.89881212864</v>
      </c>
      <c r="P225" s="67">
        <f t="shared" si="180"/>
        <v>360</v>
      </c>
      <c r="Q225" s="127" t="str">
        <f>IF(AND(K225&gt;0,K225&lt;=Dane_kredytowe!F$16),"tak","nie")</f>
        <v>nie</v>
      </c>
      <c r="R225" s="69"/>
      <c r="S225" s="86">
        <f>IF(Dane_kredytowe!F$19=B225,O224+V224,_xlfn.XLOOKUP(B225,Dane_kredytowe!M$9:M$18,Dane_kredytowe!N$9:N$18,0))</f>
        <v>0</v>
      </c>
      <c r="T225" s="71">
        <f t="shared" si="219"/>
        <v>-407.8715526836508</v>
      </c>
      <c r="U225" s="72">
        <f>IF(Q225="tak",T225,IF(P225-SUM(AB$5:AB225)+1&gt;0,IF(Dane_kredytowe!F$9&lt;B225,IF(SUM(AB$5:AB225)-Dane_kredytowe!F$16+1&gt;0,PMT(M225/12,P225+1-SUM(AB$5:AB225),O225),T225),0),0))</f>
        <v>-1187.4959510946267</v>
      </c>
      <c r="V225" s="72">
        <f t="shared" si="241"/>
        <v>-779.6243984109758</v>
      </c>
      <c r="W225" s="19" t="str">
        <f t="shared" si="242"/>
        <v xml:space="preserve"> </v>
      </c>
      <c r="X225" s="19">
        <f t="shared" si="266"/>
        <v>0</v>
      </c>
      <c r="Y225" s="73">
        <f t="shared" si="220"/>
        <v>-129.34213304640224</v>
      </c>
      <c r="Z225" s="19">
        <f>IF(P225-SUM(AB$5:AB225)+1&gt;0,IF(Dane_kredytowe!F$9&lt;B225,IF(SUM(AB$5:AB225)-Dane_kredytowe!F$16+1&gt;0,PMT(M225/12,P225+1-SUM(AB$5:AB225),N225),Y225),0),0)</f>
        <v>-376.57262019857905</v>
      </c>
      <c r="AA225" s="19">
        <f t="shared" si="295"/>
        <v>-247.23048715217681</v>
      </c>
      <c r="AB225" s="20">
        <f>IF(AND(Dane_kredytowe!F$9&lt;B225,SUM(AB$5:AB224)&lt;P224),1," ")</f>
        <v>1</v>
      </c>
      <c r="AD225" s="75">
        <f>IF(OR(B225&lt;Dane_kredytowe!F$15,Dane_kredytowe!F$15=""),-F225+S225,0)</f>
        <v>0</v>
      </c>
      <c r="AE225" s="75">
        <f t="shared" si="221"/>
        <v>376.57262019857905</v>
      </c>
      <c r="AG225" s="22">
        <f>Dane_kredytowe!F$17-SUM(AI$5:AI224)+SUM(W$42:W225)-SUM(X$42:X225)</f>
        <v>57081.020000000055</v>
      </c>
      <c r="AH225" s="22">
        <f t="shared" si="222"/>
        <v>111.31</v>
      </c>
      <c r="AI225" s="22">
        <f t="shared" si="223"/>
        <v>264.26</v>
      </c>
      <c r="AJ225" s="22">
        <f t="shared" si="296"/>
        <v>375.57</v>
      </c>
      <c r="AK225" s="22">
        <f t="shared" si="224"/>
        <v>1657.13</v>
      </c>
      <c r="AL225" s="22">
        <f>Dane_kredytowe!F$8-SUM(AN$5:AN224)+SUM(R$42:R224)-SUM(S$42:S225)</f>
        <v>180000.35999999987</v>
      </c>
      <c r="AM225" s="22">
        <f t="shared" si="225"/>
        <v>351</v>
      </c>
      <c r="AN225" s="22">
        <f t="shared" si="226"/>
        <v>833.33</v>
      </c>
      <c r="AO225" s="22">
        <f t="shared" si="297"/>
        <v>1184.33</v>
      </c>
      <c r="AP225" s="22">
        <f t="shared" si="298"/>
        <v>472.80000000000018</v>
      </c>
      <c r="AR225" s="87">
        <f t="shared" si="227"/>
        <v>43952</v>
      </c>
      <c r="AS225" s="23">
        <f>AS$5+SUM(AV$5:AV224)-SUM(X$5:X225)+SUM(W$5:W225)</f>
        <v>96952.30314829362</v>
      </c>
      <c r="AT225" s="22">
        <f t="shared" si="228"/>
        <v>-189.05699113917254</v>
      </c>
      <c r="AU225" s="22">
        <f>IF(AB225=1,IF(Q225="tak",AT225,PMT(M225/12,P225+1-SUM(AB$5:AB225),AS225)),0)</f>
        <v>-550.42919768917523</v>
      </c>
      <c r="AV225" s="22">
        <f t="shared" si="299"/>
        <v>-361.37220655000272</v>
      </c>
      <c r="AW225" s="22">
        <f t="shared" si="229"/>
        <v>-2357.9285970608889</v>
      </c>
      <c r="AY225" s="23">
        <f>AY$5+SUM(BA$5:BA224)+SUM(W$5:W224)-SUM(X$5:X224)</f>
        <v>83433.391437842016</v>
      </c>
      <c r="AZ225" s="23">
        <f t="shared" si="230"/>
        <v>-189.05699113917254</v>
      </c>
      <c r="BA225" s="23">
        <f t="shared" si="231"/>
        <v>-386.27</v>
      </c>
      <c r="BB225" s="23">
        <f t="shared" si="300"/>
        <v>-575.32699113917249</v>
      </c>
      <c r="BC225" s="23">
        <f t="shared" si="232"/>
        <v>-2464.5857646419872</v>
      </c>
      <c r="BE225" s="88">
        <f t="shared" si="233"/>
        <v>6.6E-3</v>
      </c>
      <c r="BF225" s="89">
        <f>BE225+Dane_kredytowe!F$12</f>
        <v>3.6600000000000001E-2</v>
      </c>
      <c r="BG225" s="23">
        <f>BG$5+SUM(BH$5:BH224)+SUM(R$5:R224)-SUM(S$5:S224)</f>
        <v>235684.09554002131</v>
      </c>
      <c r="BH225" s="22">
        <f t="shared" si="301"/>
        <v>-772.49774673369848</v>
      </c>
      <c r="BI225" s="22">
        <f t="shared" si="302"/>
        <v>-718.83649139706495</v>
      </c>
      <c r="BJ225" s="22">
        <f>IF(U225&lt;0,PMT(BF225/12,Dane_kredytowe!F$13-SUM(AB$5:AB225)+1,BG225),0)</f>
        <v>-1491.3342381307634</v>
      </c>
      <c r="BL225" s="23">
        <f>BL$5+SUM(BN$5:BN224)+SUM(R$5:R224)-SUM(S$5:S224)</f>
        <v>180000.00000000023</v>
      </c>
      <c r="BM225" s="23">
        <f t="shared" si="194"/>
        <v>-549.00000000000068</v>
      </c>
      <c r="BN225" s="23">
        <f t="shared" si="234"/>
        <v>-833.33333333333439</v>
      </c>
      <c r="BO225" s="23">
        <f t="shared" si="179"/>
        <v>-1382.3333333333351</v>
      </c>
      <c r="BQ225" s="89">
        <f t="shared" si="235"/>
        <v>2.3300000000000001E-2</v>
      </c>
      <c r="BR225" s="23">
        <f>BR$5+SUM(BS$5:BS224)+SUM(R$5:R224)-SUM(S$5:S224)+SUM(BV$5:BV224)</f>
        <v>269972.61226819822</v>
      </c>
      <c r="BS225" s="22">
        <f t="shared" si="249"/>
        <v>-1007.2374056705248</v>
      </c>
      <c r="BT225" s="22">
        <f t="shared" si="250"/>
        <v>-524.19682215408488</v>
      </c>
      <c r="BU225" s="22">
        <f>IF(U225&lt;0,PMT(BQ225/12,Dane_kredytowe!F$13-SUM(AB$5:AB225)+1,BR225),0)</f>
        <v>-1531.4342278246097</v>
      </c>
      <c r="BV225" s="22">
        <f t="shared" si="243"/>
        <v>-130.12241629426353</v>
      </c>
      <c r="BX225" s="23">
        <f>BX$5+SUM(BZ$5:BZ224)+SUM(R$5:R224)-SUM(S$5:S224)+SUM(CB$5,CB224)</f>
        <v>179425.25457998755</v>
      </c>
      <c r="BY225" s="22">
        <f t="shared" si="236"/>
        <v>-348.38403597614251</v>
      </c>
      <c r="BZ225" s="22">
        <f t="shared" si="237"/>
        <v>-830.67247490734974</v>
      </c>
      <c r="CA225" s="22">
        <f t="shared" si="251"/>
        <v>-1179.0565108834921</v>
      </c>
      <c r="CB225" s="22">
        <f t="shared" si="252"/>
        <v>-482.5001332353811</v>
      </c>
      <c r="CD225" s="22">
        <f>CD$5+SUM(CE$5:CE224)+SUM(R$5:R224)-SUM(S$5:S224)-SUM(CF$5:CF224)</f>
        <v>238364.64301820955</v>
      </c>
      <c r="CE225" s="22">
        <f t="shared" si="244"/>
        <v>348.38403597614251</v>
      </c>
      <c r="CF225" s="22">
        <f t="shared" si="238"/>
        <v>1661.5566441188732</v>
      </c>
      <c r="CG225" s="22">
        <f t="shared" si="245"/>
        <v>1313.1726081427307</v>
      </c>
      <c r="CI225" s="89">
        <f t="shared" si="239"/>
        <v>0.35610000000000003</v>
      </c>
      <c r="CJ225" s="22">
        <f t="shared" si="240"/>
        <v>-591.67999999999995</v>
      </c>
      <c r="CK225" s="15">
        <f t="shared" si="246"/>
        <v>0</v>
      </c>
      <c r="CM225" s="22">
        <f t="shared" si="247"/>
        <v>-205781.6262719823</v>
      </c>
      <c r="CN225" s="15">
        <f t="shared" si="253"/>
        <v>-113.17989444959026</v>
      </c>
    </row>
    <row r="226" spans="1:92">
      <c r="A226" s="25"/>
      <c r="B226" s="80">
        <v>43983</v>
      </c>
      <c r="C226" s="81">
        <f t="shared" si="217"/>
        <v>4.1474000000000002</v>
      </c>
      <c r="D226" s="82">
        <f t="shared" si="248"/>
        <v>4.2718220000000002</v>
      </c>
      <c r="E226" s="73">
        <f t="shared" si="291"/>
        <v>-376.57262019857905</v>
      </c>
      <c r="F226" s="19">
        <f t="shared" si="292"/>
        <v>-1608.6512035619344</v>
      </c>
      <c r="G226" s="19">
        <f t="shared" si="293"/>
        <v>-1187.4959510946267</v>
      </c>
      <c r="H226" s="19">
        <f t="shared" si="294"/>
        <v>421.15525246730772</v>
      </c>
      <c r="I226" s="62"/>
      <c r="K226" s="15">
        <f>IF(B226&lt;=Dane_kredytowe!F$9,0,K225+1)</f>
        <v>146</v>
      </c>
      <c r="L226" s="83">
        <f t="shared" si="218"/>
        <v>-6.6E-3</v>
      </c>
      <c r="M226" s="84">
        <f>L226+Dane_kredytowe!F$12</f>
        <v>2.3399999999999997E-2</v>
      </c>
      <c r="N226" s="79">
        <f>MAX(Dane_kredytowe!F$17+SUM(AA$5:AA225)-SUM(X$5:X226)+SUM(W$5:W226),0)</f>
        <v>66082.068511002828</v>
      </c>
      <c r="O226" s="85">
        <f>MAX(Dane_kredytowe!F$8+SUM(V$5:V225)-SUM(S$5:S226)+SUM(R$5:R225),0)</f>
        <v>208385.27441371768</v>
      </c>
      <c r="P226" s="67">
        <f t="shared" si="180"/>
        <v>360</v>
      </c>
      <c r="Q226" s="127" t="str">
        <f>IF(AND(K226&gt;0,K226&lt;=Dane_kredytowe!F$16),"tak","nie")</f>
        <v>nie</v>
      </c>
      <c r="R226" s="69"/>
      <c r="S226" s="86">
        <f>IF(Dane_kredytowe!F$19=B226,O225+V225,_xlfn.XLOOKUP(B226,Dane_kredytowe!M$9:M$18,Dane_kredytowe!N$9:N$18,0))</f>
        <v>0</v>
      </c>
      <c r="T226" s="71">
        <f t="shared" si="219"/>
        <v>-406.3512851067494</v>
      </c>
      <c r="U226" s="72">
        <f>IF(Q226="tak",T226,IF(P226-SUM(AB$5:AB226)+1&gt;0,IF(Dane_kredytowe!F$9&lt;B226,IF(SUM(AB$5:AB226)-Dane_kredytowe!F$16+1&gt;0,PMT(M226/12,P226+1-SUM(AB$5:AB226),O226),T226),0),0))</f>
        <v>-1187.4959510946267</v>
      </c>
      <c r="V226" s="72">
        <f t="shared" si="241"/>
        <v>-781.14466598787726</v>
      </c>
      <c r="W226" s="19" t="str">
        <f t="shared" si="242"/>
        <v xml:space="preserve"> </v>
      </c>
      <c r="X226" s="19">
        <f t="shared" si="266"/>
        <v>0</v>
      </c>
      <c r="Y226" s="73">
        <f t="shared" si="220"/>
        <v>-128.86003359645551</v>
      </c>
      <c r="Z226" s="19">
        <f>IF(P226-SUM(AB$5:AB226)+1&gt;0,IF(Dane_kredytowe!F$9&lt;B226,IF(SUM(AB$5:AB226)-Dane_kredytowe!F$16+1&gt;0,PMT(M226/12,P226+1-SUM(AB$5:AB226),N226),Y226),0),0)</f>
        <v>-376.57262019857905</v>
      </c>
      <c r="AA226" s="19">
        <f t="shared" si="295"/>
        <v>-247.71258660212354</v>
      </c>
      <c r="AB226" s="20">
        <f>IF(AND(Dane_kredytowe!F$9&lt;B226,SUM(AB$5:AB225)&lt;P225),1," ")</f>
        <v>1</v>
      </c>
      <c r="AD226" s="75">
        <f>IF(OR(B226&lt;Dane_kredytowe!F$15,Dane_kredytowe!F$15=""),-F226+S226,0)</f>
        <v>0</v>
      </c>
      <c r="AE226" s="75">
        <f t="shared" si="221"/>
        <v>376.57262019857905</v>
      </c>
      <c r="AG226" s="22">
        <f>Dane_kredytowe!F$17-SUM(AI$5:AI225)+SUM(W$42:W226)-SUM(X$42:X226)</f>
        <v>56816.760000000053</v>
      </c>
      <c r="AH226" s="22">
        <f t="shared" si="222"/>
        <v>110.79</v>
      </c>
      <c r="AI226" s="22">
        <f t="shared" si="223"/>
        <v>264.26</v>
      </c>
      <c r="AJ226" s="22">
        <f t="shared" si="296"/>
        <v>375.05</v>
      </c>
      <c r="AK226" s="22">
        <f t="shared" si="224"/>
        <v>1602.15</v>
      </c>
      <c r="AL226" s="22">
        <f>Dane_kredytowe!F$8-SUM(AN$5:AN225)+SUM(R$42:R225)-SUM(S$42:S226)</f>
        <v>179167.02999999985</v>
      </c>
      <c r="AM226" s="22">
        <f t="shared" si="225"/>
        <v>349.38</v>
      </c>
      <c r="AN226" s="22">
        <f t="shared" si="226"/>
        <v>833.34</v>
      </c>
      <c r="AO226" s="22">
        <f t="shared" si="297"/>
        <v>1182.72</v>
      </c>
      <c r="AP226" s="22">
        <f t="shared" si="298"/>
        <v>419.43000000000006</v>
      </c>
      <c r="AR226" s="87">
        <f t="shared" si="227"/>
        <v>43983</v>
      </c>
      <c r="AS226" s="23">
        <f>AS$5+SUM(AV$5:AV225)-SUM(X$5:X226)+SUM(W$5:W226)</f>
        <v>96590.930941743616</v>
      </c>
      <c r="AT226" s="22">
        <f t="shared" si="228"/>
        <v>-188.35231533640001</v>
      </c>
      <c r="AU226" s="22">
        <f>IF(AB226=1,IF(Q226="tak",AT226,PMT(M226/12,P226+1-SUM(AB$5:AB226),AS226)),0)</f>
        <v>-550.42919768917523</v>
      </c>
      <c r="AV226" s="22">
        <f t="shared" si="299"/>
        <v>-362.07688235277521</v>
      </c>
      <c r="AW226" s="22">
        <f t="shared" si="229"/>
        <v>-2282.8500544960852</v>
      </c>
      <c r="AY226" s="23">
        <f>AY$5+SUM(BA$5:BA225)+SUM(W$5:W225)-SUM(X$5:X225)</f>
        <v>83047.121437842012</v>
      </c>
      <c r="AZ226" s="23">
        <f t="shared" si="230"/>
        <v>-188.35231533640001</v>
      </c>
      <c r="BA226" s="23">
        <f t="shared" si="231"/>
        <v>-386.27</v>
      </c>
      <c r="BB226" s="23">
        <f t="shared" si="300"/>
        <v>-574.62231533639999</v>
      </c>
      <c r="BC226" s="23">
        <f t="shared" si="232"/>
        <v>-2383.1885906261855</v>
      </c>
      <c r="BE226" s="88">
        <f t="shared" si="233"/>
        <v>2.7000000000000001E-3</v>
      </c>
      <c r="BF226" s="89">
        <f>BE226+Dane_kredytowe!F$12</f>
        <v>3.27E-2</v>
      </c>
      <c r="BG226" s="23">
        <f>BG$5+SUM(BH$5:BH225)+SUM(R$5:R225)-SUM(S$5:S225)</f>
        <v>234911.5977932876</v>
      </c>
      <c r="BH226" s="22">
        <f t="shared" si="301"/>
        <v>-805.06712156845799</v>
      </c>
      <c r="BI226" s="22">
        <f t="shared" si="302"/>
        <v>-640.13410398670874</v>
      </c>
      <c r="BJ226" s="22">
        <f>IF(U226&lt;0,PMT(BF226/12,Dane_kredytowe!F$13-SUM(AB$5:AB226)+1,BG226),0)</f>
        <v>-1445.2012255551667</v>
      </c>
      <c r="BL226" s="23">
        <f>BL$5+SUM(BN$5:BN225)+SUM(R$5:R225)-SUM(S$5:S225)</f>
        <v>179166.66666666692</v>
      </c>
      <c r="BM226" s="23">
        <f t="shared" si="194"/>
        <v>-488.22916666666737</v>
      </c>
      <c r="BN226" s="23">
        <f t="shared" si="234"/>
        <v>-833.33333333333451</v>
      </c>
      <c r="BO226" s="23">
        <f t="shared" si="179"/>
        <v>-1321.5625000000018</v>
      </c>
      <c r="BQ226" s="89">
        <f t="shared" si="235"/>
        <v>1.9400000000000001E-2</v>
      </c>
      <c r="BR226" s="23">
        <f>BR$5+SUM(BS$5:BS225)+SUM(R$5:R225)-SUM(S$5:S225)+SUM(BV$5:BV225)</f>
        <v>268835.25244623341</v>
      </c>
      <c r="BS226" s="22">
        <f t="shared" si="249"/>
        <v>-1046.6519145697139</v>
      </c>
      <c r="BT226" s="22">
        <f t="shared" si="250"/>
        <v>-434.61699145474404</v>
      </c>
      <c r="BU226" s="22">
        <f>IF(U226&lt;0,PMT(BQ226/12,Dane_kredytowe!F$13-SUM(AB$5:AB226)+1,BR226),0)</f>
        <v>-1481.2689060244579</v>
      </c>
      <c r="BV226" s="22">
        <f t="shared" si="243"/>
        <v>-127.38229753747646</v>
      </c>
      <c r="BX226" s="23">
        <f>BX$5+SUM(BZ$5:BZ225)+SUM(R$5:R225)-SUM(S$5:S225)+SUM(CB$5,CB225)</f>
        <v>178576.8115563968</v>
      </c>
      <c r="BY226" s="22">
        <f t="shared" si="236"/>
        <v>-288.69917868284148</v>
      </c>
      <c r="BZ226" s="22">
        <f t="shared" si="237"/>
        <v>-830.58982119254324</v>
      </c>
      <c r="CA226" s="22">
        <f t="shared" si="251"/>
        <v>-1119.2889998753847</v>
      </c>
      <c r="CB226" s="22">
        <f t="shared" si="252"/>
        <v>-489.36220368654972</v>
      </c>
      <c r="CD226" s="22">
        <f>CD$5+SUM(CE$5:CE225)+SUM(R$5:R225)-SUM(S$5:S225)-SUM(CF$5:CF225)</f>
        <v>237051.4704100668</v>
      </c>
      <c r="CE226" s="22">
        <f t="shared" si="244"/>
        <v>288.69917868284148</v>
      </c>
      <c r="CF226" s="22">
        <f t="shared" si="238"/>
        <v>1608.6512035619344</v>
      </c>
      <c r="CG226" s="22">
        <f t="shared" si="245"/>
        <v>1319.952024879093</v>
      </c>
      <c r="CI226" s="89">
        <f t="shared" si="239"/>
        <v>0.34799999999999998</v>
      </c>
      <c r="CJ226" s="22">
        <f t="shared" si="240"/>
        <v>-559.80999999999995</v>
      </c>
      <c r="CK226" s="15">
        <f t="shared" si="246"/>
        <v>0</v>
      </c>
      <c r="CM226" s="22">
        <f t="shared" si="247"/>
        <v>-207390.27747554422</v>
      </c>
      <c r="CN226" s="15">
        <f t="shared" si="253"/>
        <v>-46.662812431997452</v>
      </c>
    </row>
    <row r="227" spans="1:92">
      <c r="A227" s="25"/>
      <c r="B227" s="80">
        <v>44013</v>
      </c>
      <c r="C227" s="81">
        <f t="shared" si="217"/>
        <v>4.1611000000000002</v>
      </c>
      <c r="D227" s="82">
        <f t="shared" si="248"/>
        <v>4.285933</v>
      </c>
      <c r="E227" s="73">
        <f t="shared" si="291"/>
        <v>-376.57262019857899</v>
      </c>
      <c r="F227" s="19">
        <f t="shared" si="292"/>
        <v>-1613.9650198055563</v>
      </c>
      <c r="G227" s="19">
        <f t="shared" si="293"/>
        <v>-1187.4959510946264</v>
      </c>
      <c r="H227" s="19">
        <f t="shared" si="294"/>
        <v>426.46906871092983</v>
      </c>
      <c r="I227" s="62"/>
      <c r="K227" s="15">
        <f>IF(B227&lt;=Dane_kredytowe!F$9,0,K226+1)</f>
        <v>147</v>
      </c>
      <c r="L227" s="83">
        <f t="shared" si="218"/>
        <v>-6.6E-3</v>
      </c>
      <c r="M227" s="84">
        <f>L227+Dane_kredytowe!F$12</f>
        <v>2.3399999999999997E-2</v>
      </c>
      <c r="N227" s="79">
        <f>MAX(Dane_kredytowe!F$17+SUM(AA$5:AA226)-SUM(X$5:X227)+SUM(W$5:W227),0)</f>
        <v>65834.355924400705</v>
      </c>
      <c r="O227" s="85">
        <f>MAX(Dane_kredytowe!F$8+SUM(V$5:V226)-SUM(S$5:S227)+SUM(R$5:R226),0)</f>
        <v>207604.12974772981</v>
      </c>
      <c r="P227" s="67">
        <f t="shared" si="180"/>
        <v>360</v>
      </c>
      <c r="Q227" s="127" t="str">
        <f>IF(AND(K227&gt;0,K227&lt;=Dane_kredytowe!F$16),"tak","nie")</f>
        <v>nie</v>
      </c>
      <c r="R227" s="69"/>
      <c r="S227" s="86">
        <f>IF(Dane_kredytowe!F$19=B227,O226+V226,_xlfn.XLOOKUP(B227,Dane_kredytowe!M$9:M$18,Dane_kredytowe!N$9:N$18,0))</f>
        <v>0</v>
      </c>
      <c r="T227" s="71">
        <f t="shared" si="219"/>
        <v>-404.82805300807308</v>
      </c>
      <c r="U227" s="72">
        <f>IF(Q227="tak",T227,IF(P227-SUM(AB$5:AB227)+1&gt;0,IF(Dane_kredytowe!F$9&lt;B227,IF(SUM(AB$5:AB227)-Dane_kredytowe!F$16+1&gt;0,PMT(M227/12,P227+1-SUM(AB$5:AB227),O227),T227),0),0))</f>
        <v>-1187.4959510946264</v>
      </c>
      <c r="V227" s="72">
        <f t="shared" si="241"/>
        <v>-782.66789808655335</v>
      </c>
      <c r="W227" s="19" t="str">
        <f t="shared" si="242"/>
        <v xml:space="preserve"> </v>
      </c>
      <c r="X227" s="19">
        <f t="shared" si="266"/>
        <v>0</v>
      </c>
      <c r="Y227" s="73">
        <f t="shared" si="220"/>
        <v>-128.37699405258135</v>
      </c>
      <c r="Z227" s="19">
        <f>IF(P227-SUM(AB$5:AB227)+1&gt;0,IF(Dane_kredytowe!F$9&lt;B227,IF(SUM(AB$5:AB227)-Dane_kredytowe!F$16+1&gt;0,PMT(M227/12,P227+1-SUM(AB$5:AB227),N227),Y227),0),0)</f>
        <v>-376.57262019857899</v>
      </c>
      <c r="AA227" s="19">
        <f t="shared" si="295"/>
        <v>-248.19562614599764</v>
      </c>
      <c r="AB227" s="20">
        <f>IF(AND(Dane_kredytowe!F$9&lt;B227,SUM(AB$5:AB226)&lt;P226),1," ")</f>
        <v>1</v>
      </c>
      <c r="AD227" s="75">
        <f>IF(OR(B227&lt;Dane_kredytowe!F$15,Dane_kredytowe!F$15=""),-F227+S227,0)</f>
        <v>0</v>
      </c>
      <c r="AE227" s="75">
        <f t="shared" si="221"/>
        <v>376.57262019857899</v>
      </c>
      <c r="AG227" s="22">
        <f>Dane_kredytowe!F$17-SUM(AI$5:AI226)+SUM(W$42:W227)-SUM(X$42:X227)</f>
        <v>56552.500000000051</v>
      </c>
      <c r="AH227" s="22">
        <f t="shared" si="222"/>
        <v>110.28</v>
      </c>
      <c r="AI227" s="22">
        <f t="shared" si="223"/>
        <v>264.26</v>
      </c>
      <c r="AJ227" s="22">
        <f t="shared" si="296"/>
        <v>374.53999999999996</v>
      </c>
      <c r="AK227" s="22">
        <f t="shared" si="224"/>
        <v>1605.25</v>
      </c>
      <c r="AL227" s="22">
        <f>Dane_kredytowe!F$8-SUM(AN$5:AN226)+SUM(R$42:R226)-SUM(S$42:S227)</f>
        <v>178333.68999999986</v>
      </c>
      <c r="AM227" s="22">
        <f t="shared" si="225"/>
        <v>347.75</v>
      </c>
      <c r="AN227" s="22">
        <f t="shared" si="226"/>
        <v>833.33</v>
      </c>
      <c r="AO227" s="22">
        <f t="shared" si="297"/>
        <v>1181.08</v>
      </c>
      <c r="AP227" s="22">
        <f t="shared" si="298"/>
        <v>424.17000000000007</v>
      </c>
      <c r="AR227" s="87">
        <f t="shared" si="227"/>
        <v>44013</v>
      </c>
      <c r="AS227" s="23">
        <f>AS$5+SUM(AV$5:AV226)-SUM(X$5:X227)+SUM(W$5:W227)</f>
        <v>96228.85405939084</v>
      </c>
      <c r="AT227" s="22">
        <f t="shared" si="228"/>
        <v>-187.64626541581211</v>
      </c>
      <c r="AU227" s="22">
        <f>IF(AB227=1,IF(Q227="tak",AT227,PMT(M227/12,P227+1-SUM(AB$5:AB227),AS227)),0)</f>
        <v>-550.42919768917511</v>
      </c>
      <c r="AV227" s="22">
        <f t="shared" si="299"/>
        <v>-362.78293227336303</v>
      </c>
      <c r="AW227" s="22">
        <f t="shared" si="229"/>
        <v>-2290.3909345044267</v>
      </c>
      <c r="AY227" s="23">
        <f>AY$5+SUM(BA$5:BA226)+SUM(W$5:W226)-SUM(X$5:X226)</f>
        <v>82660.851437842008</v>
      </c>
      <c r="AZ227" s="23">
        <f t="shared" si="230"/>
        <v>-187.64626541581211</v>
      </c>
      <c r="BA227" s="23">
        <f t="shared" si="231"/>
        <v>-386.27</v>
      </c>
      <c r="BB227" s="23">
        <f t="shared" si="300"/>
        <v>-573.91626541581206</v>
      </c>
      <c r="BC227" s="23">
        <f t="shared" si="232"/>
        <v>-2388.1229720217357</v>
      </c>
      <c r="BE227" s="88">
        <f t="shared" si="233"/>
        <v>2.5000000000000001E-3</v>
      </c>
      <c r="BF227" s="89">
        <f>BE227+Dane_kredytowe!F$12</f>
        <v>3.2500000000000001E-2</v>
      </c>
      <c r="BG227" s="23">
        <f>BG$5+SUM(BH$5:BH226)+SUM(R$5:R226)-SUM(S$5:S226)</f>
        <v>234106.53067171914</v>
      </c>
      <c r="BH227" s="22">
        <f t="shared" si="301"/>
        <v>-808.82960454698855</v>
      </c>
      <c r="BI227" s="22">
        <f t="shared" si="302"/>
        <v>-634.03852056923938</v>
      </c>
      <c r="BJ227" s="22">
        <f>IF(U227&lt;0,PMT(BF227/12,Dane_kredytowe!F$13-SUM(AB$5:AB227)+1,BG227),0)</f>
        <v>-1442.8681251162279</v>
      </c>
      <c r="BL227" s="23">
        <f>BL$5+SUM(BN$5:BN226)+SUM(R$5:R226)-SUM(S$5:S226)</f>
        <v>178333.3333333336</v>
      </c>
      <c r="BM227" s="23">
        <f t="shared" si="194"/>
        <v>-482.98611111111182</v>
      </c>
      <c r="BN227" s="23">
        <f t="shared" si="234"/>
        <v>-833.33333333333462</v>
      </c>
      <c r="BO227" s="23">
        <f t="shared" si="179"/>
        <v>-1316.3194444444464</v>
      </c>
      <c r="BQ227" s="89">
        <f t="shared" si="235"/>
        <v>1.9199999999999998E-2</v>
      </c>
      <c r="BR227" s="23">
        <f>BR$5+SUM(BS$5:BS226)+SUM(R$5:R226)-SUM(S$5:S226)+SUM(BV$5:BV226)</f>
        <v>267661.21823412622</v>
      </c>
      <c r="BS227" s="22">
        <f t="shared" si="249"/>
        <v>-1049.8108259396272</v>
      </c>
      <c r="BT227" s="22">
        <f t="shared" si="250"/>
        <v>-428.25794917460189</v>
      </c>
      <c r="BU227" s="22">
        <f>IF(U227&lt;0,PMT(BQ227/12,Dane_kredytowe!F$13-SUM(AB$5:AB227)+1,BR227),0)</f>
        <v>-1478.0687751142291</v>
      </c>
      <c r="BV227" s="22">
        <f t="shared" si="243"/>
        <v>-135.89624469132718</v>
      </c>
      <c r="BX227" s="23">
        <f>BX$5+SUM(BZ$5:BZ226)+SUM(R$5:R226)-SUM(S$5:S226)+SUM(CB$5,CB226)</f>
        <v>177739.35966475311</v>
      </c>
      <c r="BY227" s="22">
        <f t="shared" si="236"/>
        <v>-284.38297546360496</v>
      </c>
      <c r="BZ227" s="22">
        <f t="shared" si="237"/>
        <v>-830.55775544277151</v>
      </c>
      <c r="CA227" s="22">
        <f t="shared" si="251"/>
        <v>-1114.9407309063765</v>
      </c>
      <c r="CB227" s="22">
        <f t="shared" si="252"/>
        <v>-499.02428889917974</v>
      </c>
      <c r="CD227" s="22">
        <f>CD$5+SUM(CE$5:CE226)+SUM(R$5:R226)-SUM(S$5:S226)-SUM(CF$5:CF226)</f>
        <v>235731.51838518775</v>
      </c>
      <c r="CE227" s="22">
        <f t="shared" si="244"/>
        <v>284.38297546360496</v>
      </c>
      <c r="CF227" s="22">
        <f t="shared" si="238"/>
        <v>1613.9650198055563</v>
      </c>
      <c r="CG227" s="22">
        <f t="shared" si="245"/>
        <v>1329.5820443419514</v>
      </c>
      <c r="CI227" s="89">
        <f t="shared" si="239"/>
        <v>0.35070000000000001</v>
      </c>
      <c r="CJ227" s="22">
        <f t="shared" si="240"/>
        <v>-566.02</v>
      </c>
      <c r="CK227" s="15">
        <f t="shared" si="246"/>
        <v>0</v>
      </c>
      <c r="CM227" s="22">
        <f t="shared" si="247"/>
        <v>-209004.24249534978</v>
      </c>
      <c r="CN227" s="15">
        <f t="shared" si="253"/>
        <v>-43.542550519864541</v>
      </c>
    </row>
    <row r="228" spans="1:92">
      <c r="A228" s="25"/>
      <c r="B228" s="80">
        <v>44044</v>
      </c>
      <c r="C228" s="81">
        <f t="shared" si="217"/>
        <v>4.0881999999999996</v>
      </c>
      <c r="D228" s="82">
        <f t="shared" si="248"/>
        <v>4.2108460000000001</v>
      </c>
      <c r="E228" s="73">
        <f t="shared" si="291"/>
        <v>-376.5726201985791</v>
      </c>
      <c r="F228" s="19">
        <f t="shared" si="292"/>
        <v>-1585.6893114727061</v>
      </c>
      <c r="G228" s="19">
        <f t="shared" si="293"/>
        <v>-1187.4959510946264</v>
      </c>
      <c r="H228" s="19">
        <f t="shared" si="294"/>
        <v>398.19336037807966</v>
      </c>
      <c r="I228" s="62"/>
      <c r="K228" s="15">
        <f>IF(B228&lt;=Dane_kredytowe!F$9,0,K227+1)</f>
        <v>148</v>
      </c>
      <c r="L228" s="83">
        <f t="shared" si="218"/>
        <v>-6.6E-3</v>
      </c>
      <c r="M228" s="84">
        <f>L228+Dane_kredytowe!F$12</f>
        <v>2.3399999999999997E-2</v>
      </c>
      <c r="N228" s="79">
        <f>MAX(Dane_kredytowe!F$17+SUM(AA$5:AA227)-SUM(X$5:X228)+SUM(W$5:W228),0)</f>
        <v>65586.160298254719</v>
      </c>
      <c r="O228" s="85">
        <f>MAX(Dane_kredytowe!F$8+SUM(V$5:V227)-SUM(S$5:S228)+SUM(R$5:R227),0)</f>
        <v>206821.46184964324</v>
      </c>
      <c r="P228" s="67">
        <f t="shared" si="180"/>
        <v>360</v>
      </c>
      <c r="Q228" s="127" t="str">
        <f>IF(AND(K228&gt;0,K228&lt;=Dane_kredytowe!F$16),"tak","nie")</f>
        <v>nie</v>
      </c>
      <c r="R228" s="69"/>
      <c r="S228" s="86">
        <f>IF(Dane_kredytowe!F$19=B228,O227+V227,_xlfn.XLOOKUP(B228,Dane_kredytowe!M$9:M$18,Dane_kredytowe!N$9:N$18,0))</f>
        <v>0</v>
      </c>
      <c r="T228" s="71">
        <f t="shared" si="219"/>
        <v>-403.30185060680424</v>
      </c>
      <c r="U228" s="72">
        <f>IF(Q228="tak",T228,IF(P228-SUM(AB$5:AB228)+1&gt;0,IF(Dane_kredytowe!F$9&lt;B228,IF(SUM(AB$5:AB228)-Dane_kredytowe!F$16+1&gt;0,PMT(M228/12,P228+1-SUM(AB$5:AB228),O228),T228),0),0))</f>
        <v>-1187.4959510946264</v>
      </c>
      <c r="V228" s="72">
        <f t="shared" si="241"/>
        <v>-784.1941004878222</v>
      </c>
      <c r="W228" s="19" t="str">
        <f t="shared" si="242"/>
        <v xml:space="preserve"> </v>
      </c>
      <c r="X228" s="19">
        <f t="shared" si="266"/>
        <v>0</v>
      </c>
      <c r="Y228" s="73">
        <f t="shared" si="220"/>
        <v>-127.89301258159668</v>
      </c>
      <c r="Z228" s="19">
        <f>IF(P228-SUM(AB$5:AB228)+1&gt;0,IF(Dane_kredytowe!F$9&lt;B228,IF(SUM(AB$5:AB228)-Dane_kredytowe!F$16+1&gt;0,PMT(M228/12,P228+1-SUM(AB$5:AB228),N228),Y228),0),0)</f>
        <v>-376.5726201985791</v>
      </c>
      <c r="AA228" s="19">
        <f t="shared" si="295"/>
        <v>-248.67960761698242</v>
      </c>
      <c r="AB228" s="20">
        <f>IF(AND(Dane_kredytowe!F$9&lt;B228,SUM(AB$5:AB227)&lt;P227),1," ")</f>
        <v>1</v>
      </c>
      <c r="AD228" s="75">
        <f>IF(OR(B228&lt;Dane_kredytowe!F$15,Dane_kredytowe!F$15=""),-F228+S228,0)</f>
        <v>0</v>
      </c>
      <c r="AE228" s="75">
        <f t="shared" si="221"/>
        <v>376.5726201985791</v>
      </c>
      <c r="AG228" s="22">
        <f>Dane_kredytowe!F$17-SUM(AI$5:AI227)+SUM(W$42:W228)-SUM(X$42:X228)</f>
        <v>56288.240000000049</v>
      </c>
      <c r="AH228" s="22">
        <f t="shared" si="222"/>
        <v>109.76</v>
      </c>
      <c r="AI228" s="22">
        <f t="shared" si="223"/>
        <v>264.26</v>
      </c>
      <c r="AJ228" s="22">
        <f t="shared" si="296"/>
        <v>374.02</v>
      </c>
      <c r="AK228" s="22">
        <f t="shared" si="224"/>
        <v>1574.94</v>
      </c>
      <c r="AL228" s="22">
        <f>Dane_kredytowe!F$8-SUM(AN$5:AN227)+SUM(R$42:R227)-SUM(S$42:S228)</f>
        <v>177500.35999999987</v>
      </c>
      <c r="AM228" s="22">
        <f t="shared" si="225"/>
        <v>346.13</v>
      </c>
      <c r="AN228" s="22">
        <f t="shared" si="226"/>
        <v>833.34</v>
      </c>
      <c r="AO228" s="22">
        <f t="shared" si="297"/>
        <v>1179.47</v>
      </c>
      <c r="AP228" s="22">
        <f t="shared" si="298"/>
        <v>395.47</v>
      </c>
      <c r="AR228" s="87">
        <f t="shared" si="227"/>
        <v>44044</v>
      </c>
      <c r="AS228" s="23">
        <f>AS$5+SUM(AV$5:AV227)-SUM(X$5:X228)+SUM(W$5:W228)</f>
        <v>95866.071127117481</v>
      </c>
      <c r="AT228" s="22">
        <f t="shared" si="228"/>
        <v>-186.93883869787908</v>
      </c>
      <c r="AU228" s="22">
        <f>IF(AB228=1,IF(Q228="tak",AT228,PMT(M228/12,P228+1-SUM(AB$5:AB228),AS228)),0)</f>
        <v>-550.42919768917511</v>
      </c>
      <c r="AV228" s="22">
        <f t="shared" si="299"/>
        <v>-363.49035899129603</v>
      </c>
      <c r="AW228" s="22">
        <f t="shared" si="229"/>
        <v>-2250.2646459928856</v>
      </c>
      <c r="AY228" s="23">
        <f>AY$5+SUM(BA$5:BA227)+SUM(W$5:W227)-SUM(X$5:X227)</f>
        <v>82274.581437842018</v>
      </c>
      <c r="AZ228" s="23">
        <f t="shared" si="230"/>
        <v>-186.93883869787908</v>
      </c>
      <c r="BA228" s="23">
        <f t="shared" si="231"/>
        <v>-386.27</v>
      </c>
      <c r="BB228" s="23">
        <f t="shared" si="300"/>
        <v>-573.20883869787906</v>
      </c>
      <c r="BC228" s="23">
        <f t="shared" si="232"/>
        <v>-2343.3923743646687</v>
      </c>
      <c r="BE228" s="88">
        <f t="shared" si="233"/>
        <v>2.3E-3</v>
      </c>
      <c r="BF228" s="89">
        <f>BE228+Dane_kredytowe!F$12</f>
        <v>3.2299999999999995E-2</v>
      </c>
      <c r="BG228" s="23">
        <f>BG$5+SUM(BH$5:BH227)+SUM(R$5:R227)-SUM(S$5:S227)</f>
        <v>233297.70106717217</v>
      </c>
      <c r="BH228" s="22">
        <f t="shared" si="301"/>
        <v>-812.58731330365117</v>
      </c>
      <c r="BI228" s="22">
        <f t="shared" si="302"/>
        <v>-627.95964537247164</v>
      </c>
      <c r="BJ228" s="22">
        <f>IF(U228&lt;0,PMT(BF228/12,Dane_kredytowe!F$13-SUM(AB$5:AB228)+1,BG228),0)</f>
        <v>-1440.5469586761228</v>
      </c>
      <c r="BL228" s="23">
        <f>BL$5+SUM(BN$5:BN227)+SUM(R$5:R227)-SUM(S$5:S227)</f>
        <v>177500.00000000026</v>
      </c>
      <c r="BM228" s="23">
        <f t="shared" si="194"/>
        <v>-477.77083333333394</v>
      </c>
      <c r="BN228" s="23">
        <f t="shared" si="234"/>
        <v>-833.33333333333451</v>
      </c>
      <c r="BO228" s="23">
        <f t="shared" si="179"/>
        <v>-1311.1041666666683</v>
      </c>
      <c r="BQ228" s="89">
        <f t="shared" si="235"/>
        <v>1.9E-2</v>
      </c>
      <c r="BR228" s="23">
        <f>BR$5+SUM(BS$5:BS227)+SUM(R$5:R227)-SUM(S$5:S227)+SUM(BV$5:BV227)</f>
        <v>266475.51116349525</v>
      </c>
      <c r="BS228" s="22">
        <f t="shared" si="249"/>
        <v>-1052.9150746853138</v>
      </c>
      <c r="BT228" s="22">
        <f t="shared" si="250"/>
        <v>-421.91955934220078</v>
      </c>
      <c r="BU228" s="22">
        <f>IF(U228&lt;0,PMT(BQ228/12,Dane_kredytowe!F$13-SUM(AB$5:AB228)+1,BR228),0)</f>
        <v>-1474.8346340275145</v>
      </c>
      <c r="BV228" s="22">
        <f t="shared" si="243"/>
        <v>-110.85467744519156</v>
      </c>
      <c r="BX228" s="23">
        <f>BX$5+SUM(BZ$5:BZ227)+SUM(R$5:R227)-SUM(S$5:S227)+SUM(CB$5,CB227)</f>
        <v>176899.13982409771</v>
      </c>
      <c r="BY228" s="22">
        <f t="shared" si="236"/>
        <v>-280.09030472148805</v>
      </c>
      <c r="BZ228" s="22">
        <f t="shared" si="237"/>
        <v>-830.51239354036488</v>
      </c>
      <c r="CA228" s="22">
        <f t="shared" si="251"/>
        <v>-1110.602698261853</v>
      </c>
      <c r="CB228" s="22">
        <f t="shared" si="252"/>
        <v>-475.0866132108531</v>
      </c>
      <c r="CD228" s="22">
        <f>CD$5+SUM(CE$5:CE227)+SUM(R$5:R227)-SUM(S$5:S227)-SUM(CF$5:CF227)</f>
        <v>234401.93634084583</v>
      </c>
      <c r="CE228" s="22">
        <f t="shared" si="244"/>
        <v>280.09030472148805</v>
      </c>
      <c r="CF228" s="22">
        <f t="shared" si="238"/>
        <v>1585.6893114727061</v>
      </c>
      <c r="CG228" s="22">
        <f t="shared" si="245"/>
        <v>1305.599006751218</v>
      </c>
      <c r="CI228" s="89">
        <f t="shared" si="239"/>
        <v>0.35199999999999998</v>
      </c>
      <c r="CJ228" s="22">
        <f t="shared" si="240"/>
        <v>-558.16</v>
      </c>
      <c r="CK228" s="15">
        <f t="shared" si="246"/>
        <v>0</v>
      </c>
      <c r="CM228" s="22">
        <f t="shared" si="247"/>
        <v>-210589.93180682248</v>
      </c>
      <c r="CN228" s="15">
        <f t="shared" si="253"/>
        <v>-40.363070262974311</v>
      </c>
    </row>
    <row r="229" spans="1:92">
      <c r="A229" s="25"/>
      <c r="B229" s="80">
        <v>44075</v>
      </c>
      <c r="C229" s="81">
        <f t="shared" si="217"/>
        <v>4.1486999999999998</v>
      </c>
      <c r="D229" s="82">
        <f t="shared" si="248"/>
        <v>4.273161</v>
      </c>
      <c r="E229" s="73">
        <f t="shared" ref="E229:E237" si="303">Z229</f>
        <v>-376.57262019857905</v>
      </c>
      <c r="F229" s="19">
        <f t="shared" ref="F229:F237" si="304">E229*D229</f>
        <v>-1609.1554343003802</v>
      </c>
      <c r="G229" s="19">
        <f t="shared" ref="G229:G237" si="305">U229</f>
        <v>-1187.4959510946264</v>
      </c>
      <c r="H229" s="19">
        <f t="shared" ref="H229:H237" si="306">G229-F229</f>
        <v>421.65948320575376</v>
      </c>
      <c r="I229" s="62"/>
      <c r="K229" s="15">
        <f>IF(B229&lt;=Dane_kredytowe!F$9,0,K228+1)</f>
        <v>149</v>
      </c>
      <c r="L229" s="83">
        <f t="shared" si="218"/>
        <v>-6.6E-3</v>
      </c>
      <c r="M229" s="84">
        <f>L229+Dane_kredytowe!F$12</f>
        <v>2.3399999999999997E-2</v>
      </c>
      <c r="N229" s="79">
        <f>MAX(Dane_kredytowe!F$17+SUM(AA$5:AA228)-SUM(X$5:X229)+SUM(W$5:W229),0)</f>
        <v>65337.480690637734</v>
      </c>
      <c r="O229" s="85">
        <f>MAX(Dane_kredytowe!F$8+SUM(V$5:V228)-SUM(S$5:S229)+SUM(R$5:R228),0)</f>
        <v>206037.26774915541</v>
      </c>
      <c r="P229" s="67">
        <f t="shared" si="180"/>
        <v>360</v>
      </c>
      <c r="Q229" s="127" t="str">
        <f>IF(AND(K229&gt;0,K229&lt;=Dane_kredytowe!F$16),"tak","nie")</f>
        <v>nie</v>
      </c>
      <c r="R229" s="69"/>
      <c r="S229" s="86">
        <f>IF(Dane_kredytowe!F$19=B229,O228+V228,_xlfn.XLOOKUP(B229,Dane_kredytowe!M$9:M$18,Dane_kredytowe!N$9:N$18,0))</f>
        <v>0</v>
      </c>
      <c r="T229" s="71">
        <f t="shared" si="219"/>
        <v>-401.77267211085297</v>
      </c>
      <c r="U229" s="72">
        <f>IF(Q229="tak",T229,IF(P229-SUM(AB$5:AB229)+1&gt;0,IF(Dane_kredytowe!F$9&lt;B229,IF(SUM(AB$5:AB229)-Dane_kredytowe!F$16+1&gt;0,PMT(M229/12,P229+1-SUM(AB$5:AB229),O229),T229),0),0))</f>
        <v>-1187.4959510946264</v>
      </c>
      <c r="V229" s="72">
        <f t="shared" si="241"/>
        <v>-785.72327898377353</v>
      </c>
      <c r="W229" s="19" t="str">
        <f t="shared" si="242"/>
        <v xml:space="preserve"> </v>
      </c>
      <c r="X229" s="19">
        <f t="shared" si="266"/>
        <v>0</v>
      </c>
      <c r="Y229" s="73">
        <f t="shared" si="220"/>
        <v>-127.40808734674357</v>
      </c>
      <c r="Z229" s="19">
        <f>IF(P229-SUM(AB$5:AB229)+1&gt;0,IF(Dane_kredytowe!F$9&lt;B229,IF(SUM(AB$5:AB229)-Dane_kredytowe!F$16+1&gt;0,PMT(M229/12,P229+1-SUM(AB$5:AB229),N229),Y229),0),0)</f>
        <v>-376.57262019857905</v>
      </c>
      <c r="AA229" s="19">
        <f t="shared" ref="AA229:AA237" si="307">Z229-Y229</f>
        <v>-249.16453285183547</v>
      </c>
      <c r="AB229" s="20">
        <f>IF(AND(Dane_kredytowe!F$9&lt;B229,SUM(AB$5:AB228)&lt;P228),1," ")</f>
        <v>1</v>
      </c>
      <c r="AD229" s="75">
        <f>IF(OR(B229&lt;Dane_kredytowe!F$15,Dane_kredytowe!F$15=""),-F229+S229,0)</f>
        <v>0</v>
      </c>
      <c r="AE229" s="75">
        <f t="shared" si="221"/>
        <v>376.57262019857905</v>
      </c>
      <c r="AG229" s="22">
        <f>Dane_kredytowe!F$17-SUM(AI$5:AI228)+SUM(W$42:W229)-SUM(X$42:X229)</f>
        <v>56023.980000000047</v>
      </c>
      <c r="AH229" s="22">
        <f t="shared" si="222"/>
        <v>109.25</v>
      </c>
      <c r="AI229" s="22">
        <f t="shared" si="223"/>
        <v>264.26</v>
      </c>
      <c r="AJ229" s="22">
        <f t="shared" ref="AJ229:AJ237" si="308">AI229+AH229</f>
        <v>373.51</v>
      </c>
      <c r="AK229" s="22">
        <f t="shared" si="224"/>
        <v>1596.07</v>
      </c>
      <c r="AL229" s="22">
        <f>Dane_kredytowe!F$8-SUM(AN$5:AN228)+SUM(R$42:R228)-SUM(S$42:S229)</f>
        <v>176667.01999999984</v>
      </c>
      <c r="AM229" s="22">
        <f t="shared" si="225"/>
        <v>344.5</v>
      </c>
      <c r="AN229" s="22">
        <f t="shared" si="226"/>
        <v>833.33</v>
      </c>
      <c r="AO229" s="22">
        <f t="shared" ref="AO229:AO237" si="309">AN229+AM229</f>
        <v>1177.83</v>
      </c>
      <c r="AP229" s="22">
        <f t="shared" ref="AP229:AP237" si="310">AK229-AO229</f>
        <v>418.24</v>
      </c>
      <c r="AR229" s="87">
        <f t="shared" si="227"/>
        <v>44075</v>
      </c>
      <c r="AS229" s="23">
        <f>AS$5+SUM(AV$5:AV228)-SUM(X$5:X229)+SUM(W$5:W229)</f>
        <v>95502.580768126179</v>
      </c>
      <c r="AT229" s="22">
        <f t="shared" si="228"/>
        <v>-186.23003249784605</v>
      </c>
      <c r="AU229" s="22">
        <f>IF(AB229=1,IF(Q229="tak",AT229,PMT(M229/12,P229+1-SUM(AB$5:AB229),AS229)),0)</f>
        <v>-550.42919768917511</v>
      </c>
      <c r="AV229" s="22">
        <f t="shared" ref="AV229:AV237" si="311">AU229-AT229</f>
        <v>-364.19916519132903</v>
      </c>
      <c r="AW229" s="22">
        <f t="shared" si="229"/>
        <v>-2283.5656124530806</v>
      </c>
      <c r="AY229" s="23">
        <f>AY$5+SUM(BA$5:BA228)+SUM(W$5:W228)-SUM(X$5:X228)</f>
        <v>81888.311437842029</v>
      </c>
      <c r="AZ229" s="23">
        <f t="shared" si="230"/>
        <v>-186.23003249784605</v>
      </c>
      <c r="BA229" s="23">
        <f t="shared" si="231"/>
        <v>-386.27</v>
      </c>
      <c r="BB229" s="23">
        <f t="shared" ref="BB229:BB237" si="312">BA229+AZ229</f>
        <v>-572.50003249784606</v>
      </c>
      <c r="BC229" s="23">
        <f t="shared" si="232"/>
        <v>-2375.1308848238141</v>
      </c>
      <c r="BE229" s="88">
        <f t="shared" si="233"/>
        <v>2.3E-3</v>
      </c>
      <c r="BF229" s="89">
        <f>BE229+Dane_kredytowe!F$12</f>
        <v>3.2299999999999995E-2</v>
      </c>
      <c r="BG229" s="23">
        <f>BG$5+SUM(BH$5:BH228)+SUM(R$5:R228)-SUM(S$5:S228)</f>
        <v>232485.1137538685</v>
      </c>
      <c r="BH229" s="22">
        <f t="shared" ref="BH229:BH237" si="313">IF(BJ229&lt;0,BJ229-BI229,0)</f>
        <v>-814.77452748862663</v>
      </c>
      <c r="BI229" s="22">
        <f t="shared" ref="BI229:BI237" si="314">IF(BJ229&lt;0,-BG229*BF229/12,0)</f>
        <v>-625.77243118749595</v>
      </c>
      <c r="BJ229" s="22">
        <f>IF(U229&lt;0,PMT(BF229/12,Dane_kredytowe!F$13-SUM(AB$5:AB229)+1,BG229),0)</f>
        <v>-1440.5469586761226</v>
      </c>
      <c r="BL229" s="23">
        <f>BL$5+SUM(BN$5:BN228)+SUM(R$5:R228)-SUM(S$5:S228)</f>
        <v>176666.66666666692</v>
      </c>
      <c r="BM229" s="23">
        <f t="shared" si="194"/>
        <v>-475.52777777777834</v>
      </c>
      <c r="BN229" s="23">
        <f t="shared" si="234"/>
        <v>-833.33333333333451</v>
      </c>
      <c r="BO229" s="23">
        <f t="shared" si="179"/>
        <v>-1308.8611111111129</v>
      </c>
      <c r="BQ229" s="89">
        <f t="shared" si="235"/>
        <v>1.9E-2</v>
      </c>
      <c r="BR229" s="23">
        <f>BR$5+SUM(BS$5:BS228)+SUM(R$5:R228)-SUM(S$5:S228)+SUM(BV$5:BV228)</f>
        <v>265311.74141136475</v>
      </c>
      <c r="BS229" s="22">
        <f t="shared" si="249"/>
        <v>-1054.1417402726429</v>
      </c>
      <c r="BT229" s="22">
        <f t="shared" si="250"/>
        <v>-420.07692390132752</v>
      </c>
      <c r="BU229" s="22">
        <f>IF(U229&lt;0,PMT(BQ229/12,Dane_kredytowe!F$13-SUM(AB$5:AB229)+1,BR229),0)</f>
        <v>-1474.2186641739704</v>
      </c>
      <c r="BV229" s="22">
        <f t="shared" si="243"/>
        <v>-134.93677012640978</v>
      </c>
      <c r="BX229" s="23">
        <f>BX$5+SUM(BZ$5:BZ228)+SUM(R$5:R228)-SUM(S$5:S228)+SUM(CB$5,CB228)</f>
        <v>176092.56510624569</v>
      </c>
      <c r="BY229" s="22">
        <f t="shared" si="236"/>
        <v>-278.81322808488898</v>
      </c>
      <c r="BZ229" s="22">
        <f t="shared" si="237"/>
        <v>-830.62530710493252</v>
      </c>
      <c r="CA229" s="22">
        <f t="shared" si="251"/>
        <v>-1109.4385351898216</v>
      </c>
      <c r="CB229" s="22">
        <f t="shared" si="252"/>
        <v>-499.71689911055864</v>
      </c>
      <c r="CD229" s="22">
        <f>CD$5+SUM(CE$5:CE228)+SUM(R$5:R228)-SUM(S$5:S228)-SUM(CF$5:CF228)</f>
        <v>233096.33733409463</v>
      </c>
      <c r="CE229" s="22">
        <f t="shared" si="244"/>
        <v>278.81322808488898</v>
      </c>
      <c r="CF229" s="22">
        <f t="shared" si="238"/>
        <v>1609.1554343003802</v>
      </c>
      <c r="CG229" s="22">
        <f t="shared" si="245"/>
        <v>1330.3422062154912</v>
      </c>
      <c r="CI229" s="89">
        <f t="shared" si="239"/>
        <v>0.3493</v>
      </c>
      <c r="CJ229" s="22">
        <f t="shared" si="240"/>
        <v>-562.08000000000004</v>
      </c>
      <c r="CK229" s="15">
        <f t="shared" si="246"/>
        <v>0</v>
      </c>
      <c r="CM229" s="22">
        <f t="shared" si="247"/>
        <v>-212199.08724112285</v>
      </c>
      <c r="CN229" s="15">
        <f t="shared" si="253"/>
        <v>-40.671491721215212</v>
      </c>
    </row>
    <row r="230" spans="1:92">
      <c r="A230" s="25"/>
      <c r="B230" s="80">
        <v>44105</v>
      </c>
      <c r="C230" s="81">
        <f t="shared" si="217"/>
        <v>4.2282000000000002</v>
      </c>
      <c r="D230" s="82">
        <f t="shared" si="248"/>
        <v>4.3550460000000006</v>
      </c>
      <c r="E230" s="73">
        <f t="shared" si="303"/>
        <v>-373.17844592260121</v>
      </c>
      <c r="F230" s="19">
        <f t="shared" si="304"/>
        <v>-1625.209298201441</v>
      </c>
      <c r="G230" s="19">
        <f t="shared" si="305"/>
        <v>-1176.7926551197152</v>
      </c>
      <c r="H230" s="19">
        <f t="shared" si="306"/>
        <v>448.41664308172585</v>
      </c>
      <c r="I230" s="62"/>
      <c r="K230" s="15">
        <f>IF(B230&lt;=Dane_kredytowe!F$9,0,K229+1)</f>
        <v>150</v>
      </c>
      <c r="L230" s="83">
        <f t="shared" si="218"/>
        <v>-7.7000000000000002E-3</v>
      </c>
      <c r="M230" s="84">
        <f>L230+Dane_kredytowe!F$12</f>
        <v>2.23E-2</v>
      </c>
      <c r="N230" s="79">
        <f>MAX(Dane_kredytowe!F$17+SUM(AA$5:AA229)-SUM(X$5:X230)+SUM(W$5:W230),0)</f>
        <v>65088.316157785899</v>
      </c>
      <c r="O230" s="85">
        <f>MAX(Dane_kredytowe!F$8+SUM(V$5:V229)-SUM(S$5:S230)+SUM(R$5:R229),0)</f>
        <v>205251.54447017165</v>
      </c>
      <c r="P230" s="67">
        <f t="shared" si="180"/>
        <v>360</v>
      </c>
      <c r="Q230" s="127" t="str">
        <f>IF(AND(K230&gt;0,K230&lt;=Dane_kredytowe!F$16),"tak","nie")</f>
        <v>nie</v>
      </c>
      <c r="R230" s="69"/>
      <c r="S230" s="86">
        <f>IF(Dane_kredytowe!F$19=B230,O229+V229,_xlfn.XLOOKUP(B230,Dane_kredytowe!M$9:M$18,Dane_kredytowe!N$9:N$18,0))</f>
        <v>0</v>
      </c>
      <c r="T230" s="71">
        <f t="shared" si="219"/>
        <v>-381.42578680706902</v>
      </c>
      <c r="U230" s="72">
        <f>IF(Q230="tak",T230,IF(P230-SUM(AB$5:AB230)+1&gt;0,IF(Dane_kredytowe!F$9&lt;B230,IF(SUM(AB$5:AB230)-Dane_kredytowe!F$16+1&gt;0,PMT(M230/12,P230+1-SUM(AB$5:AB230),O230),T230),0),0))</f>
        <v>-1176.7926551197152</v>
      </c>
      <c r="V230" s="72">
        <f t="shared" si="241"/>
        <v>-795.36686831264615</v>
      </c>
      <c r="W230" s="19" t="str">
        <f t="shared" si="242"/>
        <v xml:space="preserve"> </v>
      </c>
      <c r="X230" s="19">
        <f t="shared" si="266"/>
        <v>0</v>
      </c>
      <c r="Y230" s="73">
        <f t="shared" si="220"/>
        <v>-120.95578752655213</v>
      </c>
      <c r="Z230" s="19">
        <f>IF(P230-SUM(AB$5:AB230)+1&gt;0,IF(Dane_kredytowe!F$9&lt;B230,IF(SUM(AB$5:AB230)-Dane_kredytowe!F$16+1&gt;0,PMT(M230/12,P230+1-SUM(AB$5:AB230),N230),Y230),0),0)</f>
        <v>-373.17844592260121</v>
      </c>
      <c r="AA230" s="19">
        <f t="shared" si="307"/>
        <v>-252.2226583960491</v>
      </c>
      <c r="AB230" s="20">
        <f>IF(AND(Dane_kredytowe!F$9&lt;B230,SUM(AB$5:AB229)&lt;P229),1," ")</f>
        <v>1</v>
      </c>
      <c r="AD230" s="75">
        <f>IF(OR(B230&lt;Dane_kredytowe!F$15,Dane_kredytowe!F$15=""),-F230+S230,0)</f>
        <v>0</v>
      </c>
      <c r="AE230" s="75">
        <f t="shared" si="221"/>
        <v>373.17844592260121</v>
      </c>
      <c r="AG230" s="22">
        <f>Dane_kredytowe!F$17-SUM(AI$5:AI229)+SUM(W$42:W230)-SUM(X$42:X230)</f>
        <v>55759.720000000045</v>
      </c>
      <c r="AH230" s="22">
        <f t="shared" si="222"/>
        <v>103.62</v>
      </c>
      <c r="AI230" s="22">
        <f t="shared" si="223"/>
        <v>264.26</v>
      </c>
      <c r="AJ230" s="22">
        <f t="shared" si="308"/>
        <v>367.88</v>
      </c>
      <c r="AK230" s="22">
        <f t="shared" si="224"/>
        <v>1602.13</v>
      </c>
      <c r="AL230" s="22">
        <f>Dane_kredytowe!F$8-SUM(AN$5:AN229)+SUM(R$42:R229)-SUM(S$42:S230)</f>
        <v>175833.68999999986</v>
      </c>
      <c r="AM230" s="22">
        <f t="shared" si="225"/>
        <v>326.76</v>
      </c>
      <c r="AN230" s="22">
        <f t="shared" si="226"/>
        <v>833.34</v>
      </c>
      <c r="AO230" s="22">
        <f t="shared" si="309"/>
        <v>1160.0999999999999</v>
      </c>
      <c r="AP230" s="22">
        <f t="shared" si="310"/>
        <v>442.0300000000002</v>
      </c>
      <c r="AR230" s="87">
        <f t="shared" si="227"/>
        <v>44105</v>
      </c>
      <c r="AS230" s="23">
        <f>AS$5+SUM(AV$5:AV229)-SUM(X$5:X230)+SUM(W$5:W230)</f>
        <v>95138.381602934853</v>
      </c>
      <c r="AT230" s="22">
        <f t="shared" si="228"/>
        <v>-176.79882581212061</v>
      </c>
      <c r="AU230" s="22">
        <f>IF(AB230=1,IF(Q230="tak",AT230,PMT(M230/12,P230+1-SUM(AB$5:AB230),AS230)),0)</f>
        <v>-545.46799625461904</v>
      </c>
      <c r="AV230" s="22">
        <f t="shared" si="311"/>
        <v>-368.6691704424984</v>
      </c>
      <c r="AW230" s="22">
        <f t="shared" si="229"/>
        <v>-2306.3477817637804</v>
      </c>
      <c r="AY230" s="23">
        <f>AY$5+SUM(BA$5:BA229)+SUM(W$5:W229)-SUM(X$5:X229)</f>
        <v>81502.041437842025</v>
      </c>
      <c r="AZ230" s="23">
        <f t="shared" si="230"/>
        <v>-176.79882581212061</v>
      </c>
      <c r="BA230" s="23">
        <f t="shared" si="231"/>
        <v>-386.27</v>
      </c>
      <c r="BB230" s="23">
        <f t="shared" si="312"/>
        <v>-563.06882581212062</v>
      </c>
      <c r="BC230" s="23">
        <f t="shared" si="232"/>
        <v>-2380.7676092988086</v>
      </c>
      <c r="BE230" s="88">
        <f t="shared" si="233"/>
        <v>2.2000000000000001E-3</v>
      </c>
      <c r="BF230" s="89">
        <f>BE230+Dane_kredytowe!F$12</f>
        <v>3.2199999999999999E-2</v>
      </c>
      <c r="BG230" s="23">
        <f>BG$5+SUM(BH$5:BH229)+SUM(R$5:R229)-SUM(S$5:S229)</f>
        <v>231670.33922637987</v>
      </c>
      <c r="BH230" s="22">
        <f t="shared" si="313"/>
        <v>-817.74818150978092</v>
      </c>
      <c r="BI230" s="22">
        <f t="shared" si="314"/>
        <v>-621.64874359078601</v>
      </c>
      <c r="BJ230" s="22">
        <f>IF(U230&lt;0,PMT(BF230/12,Dane_kredytowe!F$13-SUM(AB$5:AB230)+1,BG230),0)</f>
        <v>-1439.3969251005669</v>
      </c>
      <c r="BL230" s="23">
        <f>BL$5+SUM(BN$5:BN229)+SUM(R$5:R229)-SUM(S$5:S229)</f>
        <v>175833.3333333336</v>
      </c>
      <c r="BM230" s="23">
        <f t="shared" si="194"/>
        <v>-471.8194444444452</v>
      </c>
      <c r="BN230" s="23">
        <f t="shared" si="234"/>
        <v>-833.33333333333462</v>
      </c>
      <c r="BO230" s="23">
        <f t="shared" si="179"/>
        <v>-1305.1527777777799</v>
      </c>
      <c r="BQ230" s="89">
        <f t="shared" si="235"/>
        <v>1.89E-2</v>
      </c>
      <c r="BR230" s="23">
        <f>BR$5+SUM(BS$5:BS229)+SUM(R$5:R229)-SUM(S$5:S229)+SUM(BV$5:BV229)</f>
        <v>264122.66290096572</v>
      </c>
      <c r="BS230" s="22">
        <f t="shared" si="249"/>
        <v>-1056.2453340372269</v>
      </c>
      <c r="BT230" s="22">
        <f t="shared" si="250"/>
        <v>-415.993194069021</v>
      </c>
      <c r="BU230" s="22">
        <f>IF(U230&lt;0,PMT(BQ230/12,Dane_kredytowe!F$13-SUM(AB$5:AB230)+1,BR230),0)</f>
        <v>-1472.2385281062479</v>
      </c>
      <c r="BV230" s="22">
        <f t="shared" si="243"/>
        <v>-152.97077009519307</v>
      </c>
      <c r="BX230" s="23">
        <f>BX$5+SUM(BZ$5:BZ229)+SUM(R$5:R229)-SUM(S$5:S229)+SUM(CB$5,CB229)</f>
        <v>175237.30951324102</v>
      </c>
      <c r="BY230" s="22">
        <f t="shared" si="236"/>
        <v>-275.9987624833546</v>
      </c>
      <c r="BZ230" s="22">
        <f t="shared" si="237"/>
        <v>-830.50857589213751</v>
      </c>
      <c r="CA230" s="22">
        <f t="shared" si="251"/>
        <v>-1106.5073383754921</v>
      </c>
      <c r="CB230" s="22">
        <f t="shared" si="252"/>
        <v>-518.70195982594896</v>
      </c>
      <c r="CD230" s="22">
        <f>CD$5+SUM(CE$5:CE229)+SUM(R$5:R229)-SUM(S$5:S229)-SUM(CF$5:CF229)</f>
        <v>231765.99512787908</v>
      </c>
      <c r="CE230" s="22">
        <f t="shared" si="244"/>
        <v>275.9987624833546</v>
      </c>
      <c r="CF230" s="22">
        <f t="shared" si="238"/>
        <v>1625.209298201441</v>
      </c>
      <c r="CG230" s="22">
        <f t="shared" si="245"/>
        <v>1349.2105357180865</v>
      </c>
      <c r="CI230" s="89">
        <f t="shared" si="239"/>
        <v>0.34799999999999998</v>
      </c>
      <c r="CJ230" s="22">
        <f t="shared" si="240"/>
        <v>-565.57000000000005</v>
      </c>
      <c r="CK230" s="15">
        <f t="shared" si="246"/>
        <v>0</v>
      </c>
      <c r="CM230" s="22">
        <f t="shared" si="247"/>
        <v>-213824.29653932428</v>
      </c>
      <c r="CN230" s="15">
        <f t="shared" si="253"/>
        <v>-39.20112103220945</v>
      </c>
    </row>
    <row r="231" spans="1:92">
      <c r="A231" s="25"/>
      <c r="B231" s="80">
        <v>44136</v>
      </c>
      <c r="C231" s="81">
        <f t="shared" si="217"/>
        <v>4.1783000000000001</v>
      </c>
      <c r="D231" s="82">
        <f t="shared" si="248"/>
        <v>4.3036490000000001</v>
      </c>
      <c r="E231" s="73">
        <f t="shared" si="303"/>
        <v>-373.17844592260116</v>
      </c>
      <c r="F231" s="19">
        <f t="shared" si="304"/>
        <v>-1606.0290456163566</v>
      </c>
      <c r="G231" s="19">
        <f t="shared" si="305"/>
        <v>-1176.7926551197152</v>
      </c>
      <c r="H231" s="19">
        <f t="shared" si="306"/>
        <v>429.23639049664143</v>
      </c>
      <c r="I231" s="62"/>
      <c r="K231" s="15">
        <f>IF(B231&lt;=Dane_kredytowe!F$9,0,K230+1)</f>
        <v>151</v>
      </c>
      <c r="L231" s="83">
        <f t="shared" si="218"/>
        <v>-7.7000000000000002E-3</v>
      </c>
      <c r="M231" s="84">
        <f>L231+Dane_kredytowe!F$12</f>
        <v>2.23E-2</v>
      </c>
      <c r="N231" s="79">
        <f>MAX(Dane_kredytowe!F$17+SUM(AA$5:AA230)-SUM(X$5:X231)+SUM(W$5:W231),0)</f>
        <v>64836.093499389848</v>
      </c>
      <c r="O231" s="85">
        <f>MAX(Dane_kredytowe!F$8+SUM(V$5:V230)-SUM(S$5:S231)+SUM(R$5:R230),0)</f>
        <v>204456.177601859</v>
      </c>
      <c r="P231" s="67">
        <f t="shared" si="180"/>
        <v>360</v>
      </c>
      <c r="Q231" s="127" t="str">
        <f>IF(AND(K231&gt;0,K231&lt;=Dane_kredytowe!F$16),"tak","nie")</f>
        <v>nie</v>
      </c>
      <c r="R231" s="69"/>
      <c r="S231" s="86">
        <f>IF(Dane_kredytowe!F$19=B231,O230+V230,_xlfn.XLOOKUP(B231,Dane_kredytowe!M$9:M$18,Dane_kredytowe!N$9:N$18,0))</f>
        <v>0</v>
      </c>
      <c r="T231" s="71">
        <f t="shared" si="219"/>
        <v>-379.94773004345467</v>
      </c>
      <c r="U231" s="72">
        <f>IF(Q231="tak",T231,IF(P231-SUM(AB$5:AB231)+1&gt;0,IF(Dane_kredytowe!F$9&lt;B231,IF(SUM(AB$5:AB231)-Dane_kredytowe!F$16+1&gt;0,PMT(M231/12,P231+1-SUM(AB$5:AB231),O231),T231),0),0))</f>
        <v>-1176.7926551197152</v>
      </c>
      <c r="V231" s="72">
        <f t="shared" si="241"/>
        <v>-796.84492507626055</v>
      </c>
      <c r="W231" s="19" t="str">
        <f t="shared" si="242"/>
        <v xml:space="preserve"> </v>
      </c>
      <c r="X231" s="19">
        <f t="shared" si="266"/>
        <v>0</v>
      </c>
      <c r="Y231" s="73">
        <f t="shared" si="220"/>
        <v>-120.4870737530328</v>
      </c>
      <c r="Z231" s="19">
        <f>IF(P231-SUM(AB$5:AB231)+1&gt;0,IF(Dane_kredytowe!F$9&lt;B231,IF(SUM(AB$5:AB231)-Dane_kredytowe!F$16+1&gt;0,PMT(M231/12,P231+1-SUM(AB$5:AB231),N231),Y231),0),0)</f>
        <v>-373.17844592260116</v>
      </c>
      <c r="AA231" s="19">
        <f t="shared" si="307"/>
        <v>-252.69137216956835</v>
      </c>
      <c r="AB231" s="20">
        <f>IF(AND(Dane_kredytowe!F$9&lt;B231,SUM(AB$5:AB230)&lt;P230),1," ")</f>
        <v>1</v>
      </c>
      <c r="AD231" s="75">
        <f>IF(OR(B231&lt;Dane_kredytowe!F$15,Dane_kredytowe!F$15=""),-F231+S231,0)</f>
        <v>0</v>
      </c>
      <c r="AE231" s="75">
        <f t="shared" si="221"/>
        <v>373.17844592260116</v>
      </c>
      <c r="AG231" s="22">
        <f>Dane_kredytowe!F$17-SUM(AI$5:AI230)+SUM(W$42:W231)-SUM(X$42:X231)</f>
        <v>55495.460000000043</v>
      </c>
      <c r="AH231" s="22">
        <f t="shared" si="222"/>
        <v>103.13</v>
      </c>
      <c r="AI231" s="22">
        <f t="shared" si="223"/>
        <v>264.26</v>
      </c>
      <c r="AJ231" s="22">
        <f t="shared" si="308"/>
        <v>367.39</v>
      </c>
      <c r="AK231" s="22">
        <f t="shared" si="224"/>
        <v>1581.12</v>
      </c>
      <c r="AL231" s="22">
        <f>Dane_kredytowe!F$8-SUM(AN$5:AN230)+SUM(R$42:R230)-SUM(S$42:S231)</f>
        <v>175000.34999999986</v>
      </c>
      <c r="AM231" s="22">
        <f t="shared" si="225"/>
        <v>325.20999999999998</v>
      </c>
      <c r="AN231" s="22">
        <f t="shared" si="226"/>
        <v>833.33</v>
      </c>
      <c r="AO231" s="22">
        <f t="shared" si="309"/>
        <v>1158.54</v>
      </c>
      <c r="AP231" s="22">
        <f t="shared" si="310"/>
        <v>422.57999999999993</v>
      </c>
      <c r="AR231" s="87">
        <f t="shared" si="227"/>
        <v>44136</v>
      </c>
      <c r="AS231" s="23">
        <f>AS$5+SUM(AV$5:AV230)-SUM(X$5:X231)+SUM(W$5:W231)</f>
        <v>94769.712432492364</v>
      </c>
      <c r="AT231" s="22">
        <f t="shared" si="228"/>
        <v>-176.11371560371501</v>
      </c>
      <c r="AU231" s="22">
        <f>IF(AB231=1,IF(Q231="tak",AT231,PMT(M231/12,P231+1-SUM(AB$5:AB231),AS231)),0)</f>
        <v>-545.46799625461904</v>
      </c>
      <c r="AV231" s="22">
        <f t="shared" si="311"/>
        <v>-369.354280650904</v>
      </c>
      <c r="AW231" s="22">
        <f t="shared" si="229"/>
        <v>-2279.1289287506747</v>
      </c>
      <c r="AY231" s="23">
        <f>AY$5+SUM(BA$5:BA230)+SUM(W$5:W230)-SUM(X$5:X230)</f>
        <v>81115.771437842021</v>
      </c>
      <c r="AZ231" s="23">
        <f t="shared" si="230"/>
        <v>-176.11371560371501</v>
      </c>
      <c r="BA231" s="23">
        <f t="shared" si="231"/>
        <v>-386.27</v>
      </c>
      <c r="BB231" s="23">
        <f t="shared" si="312"/>
        <v>-562.38371560371502</v>
      </c>
      <c r="BC231" s="23">
        <f t="shared" si="232"/>
        <v>-2349.8078789070023</v>
      </c>
      <c r="BE231" s="88">
        <f t="shared" si="233"/>
        <v>2.2000000000000001E-3</v>
      </c>
      <c r="BF231" s="89">
        <f>BE231+Dane_kredytowe!F$12</f>
        <v>3.2199999999999999E-2</v>
      </c>
      <c r="BG231" s="23">
        <f>BG$5+SUM(BH$5:BH230)+SUM(R$5:R230)-SUM(S$5:S230)</f>
        <v>230852.59104487009</v>
      </c>
      <c r="BH231" s="22">
        <f t="shared" si="313"/>
        <v>-819.9424724634988</v>
      </c>
      <c r="BI231" s="22">
        <f t="shared" si="314"/>
        <v>-619.45445263706813</v>
      </c>
      <c r="BJ231" s="22">
        <f>IF(U231&lt;0,PMT(BF231/12,Dane_kredytowe!F$13-SUM(AB$5:AB231)+1,BG231),0)</f>
        <v>-1439.3969251005669</v>
      </c>
      <c r="BL231" s="23">
        <f>BL$5+SUM(BN$5:BN230)+SUM(R$5:R230)-SUM(S$5:S230)</f>
        <v>175000.00000000029</v>
      </c>
      <c r="BM231" s="23">
        <f t="shared" si="194"/>
        <v>-469.58333333333411</v>
      </c>
      <c r="BN231" s="23">
        <f t="shared" si="234"/>
        <v>-833.33333333333474</v>
      </c>
      <c r="BO231" s="23">
        <f t="shared" si="179"/>
        <v>-1302.9166666666688</v>
      </c>
      <c r="BQ231" s="89">
        <f t="shared" si="235"/>
        <v>1.89E-2</v>
      </c>
      <c r="BR231" s="23">
        <f>BR$5+SUM(BS$5:BS230)+SUM(R$5:R230)-SUM(S$5:S230)+SUM(BV$5:BV230)</f>
        <v>262913.4467968333</v>
      </c>
      <c r="BS231" s="22">
        <f t="shared" si="249"/>
        <v>-1057.2937558584292</v>
      </c>
      <c r="BT231" s="22">
        <f t="shared" si="250"/>
        <v>-414.08867870501246</v>
      </c>
      <c r="BU231" s="22">
        <f>IF(U231&lt;0,PMT(BQ231/12,Dane_kredytowe!F$13-SUM(AB$5:AB231)+1,BR231),0)</f>
        <v>-1471.3824345634416</v>
      </c>
      <c r="BV231" s="22">
        <f t="shared" si="243"/>
        <v>-134.64661105291498</v>
      </c>
      <c r="BX231" s="23">
        <f>BX$5+SUM(BZ$5:BZ230)+SUM(R$5:R230)-SUM(S$5:S230)+SUM(CB$5,CB230)</f>
        <v>174387.81587663351</v>
      </c>
      <c r="BY231" s="22">
        <f t="shared" si="236"/>
        <v>-274.66081000569778</v>
      </c>
      <c r="BZ231" s="22">
        <f t="shared" si="237"/>
        <v>-830.41817084111199</v>
      </c>
      <c r="CA231" s="22">
        <f t="shared" si="251"/>
        <v>-1105.0789808468098</v>
      </c>
      <c r="CB231" s="22">
        <f t="shared" si="252"/>
        <v>-500.95006476954677</v>
      </c>
      <c r="CD231" s="22">
        <f>CD$5+SUM(CE$5:CE230)+SUM(R$5:R230)-SUM(S$5:S230)-SUM(CF$5:CF230)</f>
        <v>230416.78459216101</v>
      </c>
      <c r="CE231" s="22">
        <f t="shared" si="244"/>
        <v>274.66081000569778</v>
      </c>
      <c r="CF231" s="22">
        <f t="shared" si="238"/>
        <v>1606.0290456163566</v>
      </c>
      <c r="CG231" s="22">
        <f t="shared" si="245"/>
        <v>1331.3682356106588</v>
      </c>
      <c r="CI231" s="89">
        <f t="shared" si="239"/>
        <v>0.34660000000000002</v>
      </c>
      <c r="CJ231" s="22">
        <f t="shared" si="240"/>
        <v>-556.65</v>
      </c>
      <c r="CK231" s="15">
        <f t="shared" si="246"/>
        <v>0</v>
      </c>
      <c r="CM231" s="22">
        <f t="shared" si="247"/>
        <v>-215430.32558494064</v>
      </c>
      <c r="CN231" s="15">
        <f t="shared" si="253"/>
        <v>-39.495559690572456</v>
      </c>
    </row>
    <row r="232" spans="1:92">
      <c r="A232" s="25"/>
      <c r="B232" s="80">
        <v>44166</v>
      </c>
      <c r="C232" s="81">
        <f t="shared" si="217"/>
        <v>4.1383000000000001</v>
      </c>
      <c r="D232" s="82">
        <f t="shared" si="248"/>
        <v>4.2624490000000002</v>
      </c>
      <c r="E232" s="73">
        <f t="shared" si="303"/>
        <v>-373.17844592260116</v>
      </c>
      <c r="F232" s="19">
        <f t="shared" si="304"/>
        <v>-1590.6540936443455</v>
      </c>
      <c r="G232" s="19">
        <f t="shared" si="305"/>
        <v>-1176.7926551197152</v>
      </c>
      <c r="H232" s="19">
        <f t="shared" si="306"/>
        <v>413.86143852463033</v>
      </c>
      <c r="I232" s="62"/>
      <c r="K232" s="15">
        <f>IF(B232&lt;=Dane_kredytowe!F$9,0,K231+1)</f>
        <v>152</v>
      </c>
      <c r="L232" s="83">
        <f t="shared" si="218"/>
        <v>-7.7000000000000002E-3</v>
      </c>
      <c r="M232" s="84">
        <f>L232+Dane_kredytowe!F$12</f>
        <v>2.23E-2</v>
      </c>
      <c r="N232" s="79">
        <f>MAX(Dane_kredytowe!F$17+SUM(AA$5:AA231)-SUM(X$5:X232)+SUM(W$5:W232),0)</f>
        <v>64583.402127220281</v>
      </c>
      <c r="O232" s="85">
        <f>MAX(Dane_kredytowe!F$8+SUM(V$5:V231)-SUM(S$5:S232)+SUM(R$5:R231),0)</f>
        <v>203659.33267678274</v>
      </c>
      <c r="P232" s="67">
        <f t="shared" si="180"/>
        <v>360</v>
      </c>
      <c r="Q232" s="127" t="str">
        <f>IF(AND(K232&gt;0,K232&lt;=Dane_kredytowe!F$16),"tak","nie")</f>
        <v>nie</v>
      </c>
      <c r="R232" s="69"/>
      <c r="S232" s="86">
        <f>IF(Dane_kredytowe!F$19=B232,O231+V231,_xlfn.XLOOKUP(B232,Dane_kredytowe!M$9:M$18,Dane_kredytowe!N$9:N$18,0))</f>
        <v>0</v>
      </c>
      <c r="T232" s="71">
        <f t="shared" si="219"/>
        <v>-378.46692655768794</v>
      </c>
      <c r="U232" s="72">
        <f>IF(Q232="tak",T232,IF(P232-SUM(AB$5:AB232)+1&gt;0,IF(Dane_kredytowe!F$9&lt;B232,IF(SUM(AB$5:AB232)-Dane_kredytowe!F$16+1&gt;0,PMT(M232/12,P232+1-SUM(AB$5:AB232),O232),T232),0),0))</f>
        <v>-1176.7926551197152</v>
      </c>
      <c r="V232" s="72">
        <f t="shared" si="241"/>
        <v>-798.32572856202728</v>
      </c>
      <c r="W232" s="19" t="str">
        <f t="shared" si="242"/>
        <v xml:space="preserve"> </v>
      </c>
      <c r="X232" s="19">
        <f t="shared" si="266"/>
        <v>0</v>
      </c>
      <c r="Y232" s="73">
        <f t="shared" si="220"/>
        <v>-120.01748895308435</v>
      </c>
      <c r="Z232" s="19">
        <f>IF(P232-SUM(AB$5:AB232)+1&gt;0,IF(Dane_kredytowe!F$9&lt;B232,IF(SUM(AB$5:AB232)-Dane_kredytowe!F$16+1&gt;0,PMT(M232/12,P232+1-SUM(AB$5:AB232),N232),Y232),0),0)</f>
        <v>-373.17844592260116</v>
      </c>
      <c r="AA232" s="19">
        <f t="shared" si="307"/>
        <v>-253.1609569695168</v>
      </c>
      <c r="AB232" s="20">
        <f>IF(AND(Dane_kredytowe!F$9&lt;B232,SUM(AB$5:AB231)&lt;P231),1," ")</f>
        <v>1</v>
      </c>
      <c r="AD232" s="75">
        <f>IF(OR(B232&lt;Dane_kredytowe!F$15,Dane_kredytowe!F$15=""),-F232+S232,0)</f>
        <v>0</v>
      </c>
      <c r="AE232" s="75">
        <f t="shared" si="221"/>
        <v>373.17844592260116</v>
      </c>
      <c r="AG232" s="22">
        <f>Dane_kredytowe!F$17-SUM(AI$5:AI231)+SUM(W$42:W232)-SUM(X$42:X232)</f>
        <v>55231.200000000041</v>
      </c>
      <c r="AH232" s="22">
        <f t="shared" si="222"/>
        <v>102.64</v>
      </c>
      <c r="AI232" s="22">
        <f t="shared" si="223"/>
        <v>264.26</v>
      </c>
      <c r="AJ232" s="22">
        <f t="shared" si="308"/>
        <v>366.9</v>
      </c>
      <c r="AK232" s="22">
        <f t="shared" si="224"/>
        <v>1563.89</v>
      </c>
      <c r="AL232" s="22">
        <f>Dane_kredytowe!F$8-SUM(AN$5:AN231)+SUM(R$42:R231)-SUM(S$42:S232)</f>
        <v>174167.01999999984</v>
      </c>
      <c r="AM232" s="22">
        <f t="shared" si="225"/>
        <v>323.66000000000003</v>
      </c>
      <c r="AN232" s="22">
        <f t="shared" si="226"/>
        <v>833.34</v>
      </c>
      <c r="AO232" s="22">
        <f t="shared" si="309"/>
        <v>1157</v>
      </c>
      <c r="AP232" s="22">
        <f t="shared" si="310"/>
        <v>406.8900000000001</v>
      </c>
      <c r="AR232" s="87">
        <f t="shared" si="227"/>
        <v>44166</v>
      </c>
      <c r="AS232" s="23">
        <f>AS$5+SUM(AV$5:AV231)-SUM(X$5:X232)+SUM(W$5:W232)</f>
        <v>94400.358151841458</v>
      </c>
      <c r="AT232" s="22">
        <f t="shared" si="228"/>
        <v>-175.42733223217203</v>
      </c>
      <c r="AU232" s="22">
        <f>IF(AB232=1,IF(Q232="tak",AT232,PMT(M232/12,P232+1-SUM(AB$5:AB232),AS232)),0)</f>
        <v>-545.46799625461915</v>
      </c>
      <c r="AV232" s="22">
        <f t="shared" si="311"/>
        <v>-370.04066402244712</v>
      </c>
      <c r="AW232" s="22">
        <f t="shared" si="229"/>
        <v>-2257.3102089004906</v>
      </c>
      <c r="AY232" s="23">
        <f>AY$5+SUM(BA$5:BA231)+SUM(W$5:W231)-SUM(X$5:X231)</f>
        <v>80729.501437842031</v>
      </c>
      <c r="AZ232" s="23">
        <f t="shared" si="230"/>
        <v>-175.42733223217203</v>
      </c>
      <c r="BA232" s="23">
        <f t="shared" si="231"/>
        <v>-386.27</v>
      </c>
      <c r="BB232" s="23">
        <f t="shared" si="312"/>
        <v>-561.69733223217202</v>
      </c>
      <c r="BC232" s="23">
        <f t="shared" si="232"/>
        <v>-2324.4720699763975</v>
      </c>
      <c r="BE232" s="88">
        <f t="shared" si="233"/>
        <v>2.0999999999999999E-3</v>
      </c>
      <c r="BF232" s="89">
        <f>BE232+Dane_kredytowe!F$12</f>
        <v>3.2099999999999997E-2</v>
      </c>
      <c r="BG232" s="23">
        <f>BG$5+SUM(BH$5:BH231)+SUM(R$5:R231)-SUM(S$5:S231)</f>
        <v>230032.64857240659</v>
      </c>
      <c r="BH232" s="22">
        <f t="shared" si="313"/>
        <v>-822.91984034629172</v>
      </c>
      <c r="BI232" s="22">
        <f t="shared" si="314"/>
        <v>-615.33733493118757</v>
      </c>
      <c r="BJ232" s="22">
        <f>IF(U232&lt;0,PMT(BF232/12,Dane_kredytowe!F$13-SUM(AB$5:AB232)+1,BG232),0)</f>
        <v>-1438.2571752774793</v>
      </c>
      <c r="BL232" s="23">
        <f>BL$5+SUM(BN$5:BN231)+SUM(R$5:R231)-SUM(S$5:S231)</f>
        <v>174166.66666666695</v>
      </c>
      <c r="BM232" s="23">
        <f t="shared" si="194"/>
        <v>-465.895833333334</v>
      </c>
      <c r="BN232" s="23">
        <f t="shared" si="234"/>
        <v>-833.33333333333474</v>
      </c>
      <c r="BO232" s="23">
        <f t="shared" si="179"/>
        <v>-1299.2291666666688</v>
      </c>
      <c r="BQ232" s="89">
        <f t="shared" si="235"/>
        <v>1.8800000000000001E-2</v>
      </c>
      <c r="BR232" s="23">
        <f>BR$5+SUM(BS$5:BS231)+SUM(R$5:R231)-SUM(S$5:S231)+SUM(BV$5:BV231)</f>
        <v>261721.50642992195</v>
      </c>
      <c r="BS232" s="22">
        <f t="shared" si="249"/>
        <v>-1059.3809943810379</v>
      </c>
      <c r="BT232" s="22">
        <f t="shared" si="250"/>
        <v>-410.03036007354444</v>
      </c>
      <c r="BU232" s="22">
        <f>IF(U232&lt;0,PMT(BQ232/12,Dane_kredytowe!F$13-SUM(AB$5:AB232)+1,BR232),0)</f>
        <v>-1469.4113544545824</v>
      </c>
      <c r="BV232" s="22">
        <f t="shared" si="243"/>
        <v>-121.24273918976314</v>
      </c>
      <c r="BX232" s="23">
        <f>BX$5+SUM(BZ$5:BZ231)+SUM(R$5:R231)-SUM(S$5:S231)+SUM(CB$5,CB231)</f>
        <v>173575.14960084882</v>
      </c>
      <c r="BY232" s="22">
        <f t="shared" si="236"/>
        <v>-271.93440104132981</v>
      </c>
      <c r="BZ232" s="22">
        <f t="shared" si="237"/>
        <v>-830.50310813803264</v>
      </c>
      <c r="CA232" s="22">
        <f t="shared" si="251"/>
        <v>-1102.4375091793625</v>
      </c>
      <c r="CB232" s="22">
        <f t="shared" si="252"/>
        <v>-488.21658446498304</v>
      </c>
      <c r="CD232" s="22">
        <f>CD$5+SUM(CE$5:CE231)+SUM(R$5:R231)-SUM(S$5:S231)-SUM(CF$5:CF231)</f>
        <v>229085.41635655038</v>
      </c>
      <c r="CE232" s="22">
        <f t="shared" si="244"/>
        <v>271.93440104132981</v>
      </c>
      <c r="CF232" s="22">
        <f t="shared" si="238"/>
        <v>1590.6540936443455</v>
      </c>
      <c r="CG232" s="22">
        <f t="shared" si="245"/>
        <v>1318.7196926030156</v>
      </c>
      <c r="CI232" s="89">
        <f t="shared" si="239"/>
        <v>0.3453</v>
      </c>
      <c r="CJ232" s="22">
        <f t="shared" si="240"/>
        <v>-549.25</v>
      </c>
      <c r="CK232" s="15">
        <f t="shared" si="246"/>
        <v>0</v>
      </c>
      <c r="CM232" s="22">
        <f t="shared" si="247"/>
        <v>-217020.97967858499</v>
      </c>
      <c r="CN232" s="15">
        <f t="shared" si="253"/>
        <v>-37.978671443752368</v>
      </c>
    </row>
    <row r="233" spans="1:92">
      <c r="A233" s="25">
        <v>2021</v>
      </c>
      <c r="B233" s="80">
        <v>44197</v>
      </c>
      <c r="C233" s="81">
        <f t="shared" si="217"/>
        <v>4.2089999999999996</v>
      </c>
      <c r="D233" s="82">
        <f t="shared" si="248"/>
        <v>4.3352699999999995</v>
      </c>
      <c r="E233" s="73">
        <f t="shared" si="303"/>
        <v>-373.17844592260116</v>
      </c>
      <c r="F233" s="19">
        <f t="shared" si="304"/>
        <v>-1617.8293212548749</v>
      </c>
      <c r="G233" s="19">
        <f t="shared" si="305"/>
        <v>-1176.7926551197152</v>
      </c>
      <c r="H233" s="19">
        <f t="shared" si="306"/>
        <v>441.03666613515975</v>
      </c>
      <c r="I233" s="62"/>
      <c r="K233" s="15">
        <f>IF(B233&lt;=Dane_kredytowe!F$9,0,K232+1)</f>
        <v>153</v>
      </c>
      <c r="L233" s="83">
        <f t="shared" si="218"/>
        <v>-7.7000000000000002E-3</v>
      </c>
      <c r="M233" s="84">
        <f>L233+Dane_kredytowe!F$12</f>
        <v>2.23E-2</v>
      </c>
      <c r="N233" s="79">
        <f>MAX(Dane_kredytowe!F$17+SUM(AA$5:AA232)-SUM(X$5:X233)+SUM(W$5:W233),0)</f>
        <v>64330.241170250767</v>
      </c>
      <c r="O233" s="85">
        <f>MAX(Dane_kredytowe!F$8+SUM(V$5:V232)-SUM(S$5:S233)+SUM(R$5:R232),0)</f>
        <v>202861.00694822072</v>
      </c>
      <c r="P233" s="67">
        <f t="shared" si="180"/>
        <v>360</v>
      </c>
      <c r="Q233" s="127" t="str">
        <f>IF(AND(K233&gt;0,K233&lt;=Dane_kredytowe!F$16),"tak","nie")</f>
        <v>nie</v>
      </c>
      <c r="R233" s="69"/>
      <c r="S233" s="86">
        <f>IF(Dane_kredytowe!F$19=B233,O232+V232,_xlfn.XLOOKUP(B233,Dane_kredytowe!M$9:M$18,Dane_kredytowe!N$9:N$18,0))</f>
        <v>0</v>
      </c>
      <c r="T233" s="71">
        <f t="shared" si="219"/>
        <v>-376.98337124544349</v>
      </c>
      <c r="U233" s="72">
        <f>IF(Q233="tak",T233,IF(P233-SUM(AB$5:AB233)+1&gt;0,IF(Dane_kredytowe!F$9&lt;B233,IF(SUM(AB$5:AB233)-Dane_kredytowe!F$16+1&gt;0,PMT(M233/12,P233+1-SUM(AB$5:AB233),O233),T233),0),0))</f>
        <v>-1176.7926551197152</v>
      </c>
      <c r="V233" s="72">
        <f t="shared" si="241"/>
        <v>-799.80928387427161</v>
      </c>
      <c r="W233" s="19" t="str">
        <f t="shared" si="242"/>
        <v xml:space="preserve"> </v>
      </c>
      <c r="X233" s="19">
        <f t="shared" si="266"/>
        <v>0</v>
      </c>
      <c r="Y233" s="73">
        <f t="shared" si="220"/>
        <v>-119.54703150804936</v>
      </c>
      <c r="Z233" s="19">
        <f>IF(P233-SUM(AB$5:AB233)+1&gt;0,IF(Dane_kredytowe!F$9&lt;B233,IF(SUM(AB$5:AB233)-Dane_kredytowe!F$16+1&gt;0,PMT(M233/12,P233+1-SUM(AB$5:AB233),N233),Y233),0),0)</f>
        <v>-373.17844592260116</v>
      </c>
      <c r="AA233" s="19">
        <f t="shared" si="307"/>
        <v>-253.63141441455178</v>
      </c>
      <c r="AB233" s="20">
        <f>IF(AND(Dane_kredytowe!F$9&lt;B233,SUM(AB$5:AB232)&lt;P232),1," ")</f>
        <v>1</v>
      </c>
      <c r="AD233" s="75">
        <f>IF(OR(B233&lt;Dane_kredytowe!F$15,Dane_kredytowe!F$15=""),-F233+S233,0)</f>
        <v>0</v>
      </c>
      <c r="AE233" s="75">
        <f t="shared" si="221"/>
        <v>373.17844592260116</v>
      </c>
      <c r="AG233" s="22">
        <f>Dane_kredytowe!F$17-SUM(AI$5:AI232)+SUM(W$42:W233)-SUM(X$42:X233)</f>
        <v>54966.940000000039</v>
      </c>
      <c r="AH233" s="22">
        <f t="shared" si="222"/>
        <v>102.15</v>
      </c>
      <c r="AI233" s="22">
        <f t="shared" si="223"/>
        <v>264.26</v>
      </c>
      <c r="AJ233" s="22">
        <f t="shared" si="308"/>
        <v>366.40999999999997</v>
      </c>
      <c r="AK233" s="22">
        <f t="shared" si="224"/>
        <v>1588.49</v>
      </c>
      <c r="AL233" s="22">
        <f>Dane_kredytowe!F$8-SUM(AN$5:AN232)+SUM(R$42:R232)-SUM(S$42:S233)</f>
        <v>173333.67999999988</v>
      </c>
      <c r="AM233" s="22">
        <f t="shared" si="225"/>
        <v>322.11</v>
      </c>
      <c r="AN233" s="22">
        <f t="shared" si="226"/>
        <v>833.33</v>
      </c>
      <c r="AO233" s="22">
        <f t="shared" si="309"/>
        <v>1155.44</v>
      </c>
      <c r="AP233" s="22">
        <f t="shared" si="310"/>
        <v>433.04999999999995</v>
      </c>
      <c r="AR233" s="87">
        <f t="shared" si="227"/>
        <v>44197</v>
      </c>
      <c r="AS233" s="23">
        <f>AS$5+SUM(AV$5:AV232)-SUM(X$5:X233)+SUM(W$5:W233)</f>
        <v>94030.317487819004</v>
      </c>
      <c r="AT233" s="22">
        <f t="shared" si="228"/>
        <v>-174.73967333153033</v>
      </c>
      <c r="AU233" s="22">
        <f>IF(AB233=1,IF(Q233="tak",AT233,PMT(M233/12,P233+1-SUM(AB$5:AB233),AS233)),0)</f>
        <v>-545.46799625461904</v>
      </c>
      <c r="AV233" s="22">
        <f t="shared" si="311"/>
        <v>-370.72832292308874</v>
      </c>
      <c r="AW233" s="22">
        <f t="shared" si="229"/>
        <v>-2295.8747962356915</v>
      </c>
      <c r="AY233" s="23">
        <f>AY$5+SUM(BA$5:BA232)+SUM(W$5:W232)-SUM(X$5:X232)</f>
        <v>80343.231437842041</v>
      </c>
      <c r="AZ233" s="23">
        <f t="shared" si="230"/>
        <v>-174.73967333153033</v>
      </c>
      <c r="BA233" s="23">
        <f t="shared" si="231"/>
        <v>-386.27</v>
      </c>
      <c r="BB233" s="23">
        <f t="shared" si="312"/>
        <v>-561.00967333153028</v>
      </c>
      <c r="BC233" s="23">
        <f t="shared" si="232"/>
        <v>-2361.2897150524109</v>
      </c>
      <c r="BE233" s="88">
        <f t="shared" si="233"/>
        <v>2.0999999999999999E-3</v>
      </c>
      <c r="BF233" s="89">
        <f>BE233+Dane_kredytowe!F$12</f>
        <v>3.2099999999999997E-2</v>
      </c>
      <c r="BG233" s="23">
        <f>BG$5+SUM(BH$5:BH232)+SUM(R$5:R232)-SUM(S$5:S232)</f>
        <v>229209.72873206029</v>
      </c>
      <c r="BH233" s="22">
        <f t="shared" si="313"/>
        <v>-825.12115091921783</v>
      </c>
      <c r="BI233" s="22">
        <f t="shared" si="314"/>
        <v>-613.13602435826124</v>
      </c>
      <c r="BJ233" s="22">
        <f>IF(U233&lt;0,PMT(BF233/12,Dane_kredytowe!F$13-SUM(AB$5:AB233)+1,BG233),0)</f>
        <v>-1438.2571752774791</v>
      </c>
      <c r="BL233" s="23">
        <f>BL$5+SUM(BN$5:BN232)+SUM(R$5:R232)-SUM(S$5:S232)</f>
        <v>173333.3333333336</v>
      </c>
      <c r="BM233" s="23">
        <f t="shared" si="194"/>
        <v>-463.66666666666737</v>
      </c>
      <c r="BN233" s="23">
        <f t="shared" si="234"/>
        <v>-833.33333333333462</v>
      </c>
      <c r="BO233" s="23">
        <f t="shared" ref="BO233:BO239" si="315">BN233+BM233</f>
        <v>-1297.000000000002</v>
      </c>
      <c r="BQ233" s="89">
        <f t="shared" si="235"/>
        <v>1.8800000000000001E-2</v>
      </c>
      <c r="BR233" s="23">
        <f>BR$5+SUM(BS$5:BS232)+SUM(R$5:R232)-SUM(S$5:S232)+SUM(BV$5:BV232)</f>
        <v>260540.88269635115</v>
      </c>
      <c r="BS233" s="22">
        <f t="shared" si="249"/>
        <v>-1060.5471654882854</v>
      </c>
      <c r="BT233" s="22">
        <f t="shared" si="250"/>
        <v>-408.18071622428351</v>
      </c>
      <c r="BU233" s="22">
        <f>IF(U233&lt;0,PMT(BQ233/12,Dane_kredytowe!F$13-SUM(AB$5:AB233)+1,BR233),0)</f>
        <v>-1468.7278817125689</v>
      </c>
      <c r="BV233" s="22">
        <f t="shared" si="243"/>
        <v>-149.10143954230603</v>
      </c>
      <c r="BX233" s="23">
        <f>BX$5+SUM(BZ$5:BZ232)+SUM(R$5:R232)-SUM(S$5:S232)+SUM(CB$5,CB232)</f>
        <v>172757.37997301537</v>
      </c>
      <c r="BY233" s="22">
        <f t="shared" si="236"/>
        <v>-270.65322862439075</v>
      </c>
      <c r="BZ233" s="22">
        <f t="shared" si="237"/>
        <v>-830.56432679334307</v>
      </c>
      <c r="CA233" s="22">
        <f t="shared" si="251"/>
        <v>-1101.2175554177338</v>
      </c>
      <c r="CB233" s="22">
        <f t="shared" si="252"/>
        <v>-516.61176583714109</v>
      </c>
      <c r="CD233" s="22">
        <f>CD$5+SUM(CE$5:CE232)+SUM(R$5:R232)-SUM(S$5:S232)-SUM(CF$5:CF232)</f>
        <v>227766.6966639474</v>
      </c>
      <c r="CE233" s="22">
        <f t="shared" si="244"/>
        <v>270.65322862439075</v>
      </c>
      <c r="CF233" s="22">
        <f t="shared" si="238"/>
        <v>1617.8293212548749</v>
      </c>
      <c r="CG233" s="22">
        <f t="shared" si="245"/>
        <v>1347.1760926304842</v>
      </c>
      <c r="CI233" s="89">
        <f t="shared" si="239"/>
        <v>0.32800000000000001</v>
      </c>
      <c r="CJ233" s="22">
        <f t="shared" si="240"/>
        <v>-530.65</v>
      </c>
      <c r="CK233" s="15">
        <f t="shared" si="246"/>
        <v>0</v>
      </c>
      <c r="CM233" s="22">
        <f t="shared" si="247"/>
        <v>-218638.80899983988</v>
      </c>
      <c r="CN233" s="15">
        <f t="shared" si="253"/>
        <v>-38.261791574971973</v>
      </c>
    </row>
    <row r="234" spans="1:92">
      <c r="A234" s="25"/>
      <c r="B234" s="80">
        <v>44228</v>
      </c>
      <c r="C234" s="81">
        <f t="shared" si="217"/>
        <v>4.1441999999999997</v>
      </c>
      <c r="D234" s="82">
        <f t="shared" si="248"/>
        <v>4.2685259999999996</v>
      </c>
      <c r="E234" s="73">
        <f t="shared" si="303"/>
        <v>-373.17844592260116</v>
      </c>
      <c r="F234" s="19">
        <f t="shared" si="304"/>
        <v>-1592.9218990602169</v>
      </c>
      <c r="G234" s="19">
        <f t="shared" si="305"/>
        <v>-1176.7926551197152</v>
      </c>
      <c r="H234" s="19">
        <f t="shared" si="306"/>
        <v>416.12924394050174</v>
      </c>
      <c r="I234" s="62"/>
      <c r="K234" s="15">
        <f>IF(B234&lt;=Dane_kredytowe!F$9,0,K233+1)</f>
        <v>154</v>
      </c>
      <c r="L234" s="83">
        <f t="shared" si="218"/>
        <v>-7.7000000000000002E-3</v>
      </c>
      <c r="M234" s="84">
        <f>L234+Dane_kredytowe!F$12</f>
        <v>2.23E-2</v>
      </c>
      <c r="N234" s="79">
        <f>MAX(Dane_kredytowe!F$17+SUM(AA$5:AA233)-SUM(X$5:X234)+SUM(W$5:W234),0)</f>
        <v>64076.609755836209</v>
      </c>
      <c r="O234" s="85">
        <f>MAX(Dane_kredytowe!F$8+SUM(V$5:V233)-SUM(S$5:S234)+SUM(R$5:R233),0)</f>
        <v>202061.19766434643</v>
      </c>
      <c r="P234" s="67">
        <f t="shared" si="180"/>
        <v>360</v>
      </c>
      <c r="Q234" s="127" t="str">
        <f>IF(AND(K234&gt;0,K234&lt;=Dane_kredytowe!F$16),"tak","nie")</f>
        <v>nie</v>
      </c>
      <c r="R234" s="69"/>
      <c r="S234" s="86">
        <f>IF(Dane_kredytowe!F$19=B234,O233+V233,_xlfn.XLOOKUP(B234,Dane_kredytowe!M$9:M$18,Dane_kredytowe!N$9:N$18,0))</f>
        <v>0</v>
      </c>
      <c r="T234" s="71">
        <f t="shared" si="219"/>
        <v>-375.49705899291047</v>
      </c>
      <c r="U234" s="72">
        <f>IF(Q234="tak",T234,IF(P234-SUM(AB$5:AB234)+1&gt;0,IF(Dane_kredytowe!F$9&lt;B234,IF(SUM(AB$5:AB234)-Dane_kredytowe!F$16+1&gt;0,PMT(M234/12,P234+1-SUM(AB$5:AB234),O234),T234),0),0))</f>
        <v>-1176.7926551197152</v>
      </c>
      <c r="V234" s="72">
        <f t="shared" si="241"/>
        <v>-801.29559612680464</v>
      </c>
      <c r="W234" s="19" t="str">
        <f t="shared" si="242"/>
        <v xml:space="preserve"> </v>
      </c>
      <c r="X234" s="19">
        <f t="shared" si="266"/>
        <v>0</v>
      </c>
      <c r="Y234" s="73">
        <f t="shared" si="220"/>
        <v>-119.0756997962623</v>
      </c>
      <c r="Z234" s="19">
        <f>IF(P234-SUM(AB$5:AB234)+1&gt;0,IF(Dane_kredytowe!F$9&lt;B234,IF(SUM(AB$5:AB234)-Dane_kredytowe!F$16+1&gt;0,PMT(M234/12,P234+1-SUM(AB$5:AB234),N234),Y234),0),0)</f>
        <v>-373.17844592260116</v>
      </c>
      <c r="AA234" s="19">
        <f t="shared" si="307"/>
        <v>-254.10274612633884</v>
      </c>
      <c r="AB234" s="20">
        <f>IF(AND(Dane_kredytowe!F$9&lt;B234,SUM(AB$5:AB233)&lt;P233),1," ")</f>
        <v>1</v>
      </c>
      <c r="AD234" s="75">
        <f>IF(OR(B234&lt;Dane_kredytowe!F$15,Dane_kredytowe!F$15=""),-F234+S234,0)</f>
        <v>0</v>
      </c>
      <c r="AE234" s="75">
        <f t="shared" si="221"/>
        <v>373.17844592260116</v>
      </c>
      <c r="AG234" s="22">
        <f>Dane_kredytowe!F$17-SUM(AI$5:AI233)+SUM(W$42:W234)-SUM(X$42:X234)</f>
        <v>54702.680000000037</v>
      </c>
      <c r="AH234" s="22">
        <f t="shared" si="222"/>
        <v>101.66</v>
      </c>
      <c r="AI234" s="22">
        <f t="shared" si="223"/>
        <v>264.26</v>
      </c>
      <c r="AJ234" s="22">
        <f t="shared" si="308"/>
        <v>365.91999999999996</v>
      </c>
      <c r="AK234" s="22">
        <f t="shared" si="224"/>
        <v>1561.94</v>
      </c>
      <c r="AL234" s="22">
        <f>Dane_kredytowe!F$8-SUM(AN$5:AN233)+SUM(R$42:R233)-SUM(S$42:S234)</f>
        <v>172500.34999999986</v>
      </c>
      <c r="AM234" s="22">
        <f t="shared" si="225"/>
        <v>320.56</v>
      </c>
      <c r="AN234" s="22">
        <f t="shared" si="226"/>
        <v>833.34</v>
      </c>
      <c r="AO234" s="22">
        <f t="shared" si="309"/>
        <v>1153.9000000000001</v>
      </c>
      <c r="AP234" s="22">
        <f t="shared" si="310"/>
        <v>408.03999999999996</v>
      </c>
      <c r="AR234" s="87">
        <f t="shared" si="227"/>
        <v>44228</v>
      </c>
      <c r="AS234" s="23">
        <f>AS$5+SUM(AV$5:AV233)-SUM(X$5:X234)+SUM(W$5:W234)</f>
        <v>93659.589164895922</v>
      </c>
      <c r="AT234" s="22">
        <f t="shared" si="228"/>
        <v>-174.05073653143157</v>
      </c>
      <c r="AU234" s="22">
        <f>IF(AB234=1,IF(Q234="tak",AT234,PMT(M234/12,P234+1-SUM(AB$5:AB234),AS234)),0)</f>
        <v>-545.46799625461915</v>
      </c>
      <c r="AV234" s="22">
        <f t="shared" si="311"/>
        <v>-371.41725972318761</v>
      </c>
      <c r="AW234" s="22">
        <f t="shared" si="229"/>
        <v>-2260.5284700783927</v>
      </c>
      <c r="AY234" s="23">
        <f>AY$5+SUM(BA$5:BA233)+SUM(W$5:W233)-SUM(X$5:X233)</f>
        <v>79956.961437842037</v>
      </c>
      <c r="AZ234" s="23">
        <f t="shared" si="230"/>
        <v>-174.05073653143157</v>
      </c>
      <c r="BA234" s="23">
        <f t="shared" si="231"/>
        <v>-386.27</v>
      </c>
      <c r="BB234" s="23">
        <f t="shared" si="312"/>
        <v>-560.32073653143152</v>
      </c>
      <c r="BC234" s="23">
        <f t="shared" si="232"/>
        <v>-2322.0811963335582</v>
      </c>
      <c r="BE234" s="88">
        <f t="shared" si="233"/>
        <v>2.0999999999999999E-3</v>
      </c>
      <c r="BF234" s="89">
        <f>BE234+Dane_kredytowe!F$12</f>
        <v>3.2099999999999997E-2</v>
      </c>
      <c r="BG234" s="23">
        <f>BG$5+SUM(BH$5:BH233)+SUM(R$5:R233)-SUM(S$5:S233)</f>
        <v>228384.60758114106</v>
      </c>
      <c r="BH234" s="22">
        <f t="shared" si="313"/>
        <v>-827.32834999792681</v>
      </c>
      <c r="BI234" s="22">
        <f t="shared" si="314"/>
        <v>-610.92882527955226</v>
      </c>
      <c r="BJ234" s="22">
        <f>IF(U234&lt;0,PMT(BF234/12,Dane_kredytowe!F$13-SUM(AB$5:AB234)+1,BG234),0)</f>
        <v>-1438.2571752774791</v>
      </c>
      <c r="BL234" s="23">
        <f>BL$5+SUM(BN$5:BN233)+SUM(R$5:R233)-SUM(S$5:S233)</f>
        <v>172500.00000000029</v>
      </c>
      <c r="BM234" s="23">
        <f t="shared" si="194"/>
        <v>-461.43750000000074</v>
      </c>
      <c r="BN234" s="23">
        <f t="shared" si="234"/>
        <v>-833.33333333333474</v>
      </c>
      <c r="BO234" s="23">
        <f t="shared" si="315"/>
        <v>-1294.7708333333355</v>
      </c>
      <c r="BQ234" s="89">
        <f t="shared" si="235"/>
        <v>1.8800000000000001E-2</v>
      </c>
      <c r="BR234" s="23">
        <f>BR$5+SUM(BS$5:BS233)+SUM(R$5:R233)-SUM(S$5:S233)+SUM(BV$5:BV233)</f>
        <v>259331.2340913206</v>
      </c>
      <c r="BS234" s="22">
        <f t="shared" si="249"/>
        <v>-1061.5983277349542</v>
      </c>
      <c r="BT234" s="22">
        <f t="shared" si="250"/>
        <v>-406.28560007640226</v>
      </c>
      <c r="BU234" s="22">
        <f>IF(U234&lt;0,PMT(BQ234/12,Dane_kredytowe!F$13-SUM(AB$5:AB234)+1,BR234),0)</f>
        <v>-1467.8839278113564</v>
      </c>
      <c r="BV234" s="22">
        <f t="shared" si="243"/>
        <v>-125.03797124886046</v>
      </c>
      <c r="BX234" s="23">
        <f>BX$5+SUM(BZ$5:BZ233)+SUM(R$5:R233)-SUM(S$5:S233)+SUM(CB$5,CB233)</f>
        <v>171898.42046484983</v>
      </c>
      <c r="BY234" s="22">
        <f t="shared" si="236"/>
        <v>-269.30752539493142</v>
      </c>
      <c r="BZ234" s="22">
        <f t="shared" si="237"/>
        <v>-830.42715200410544</v>
      </c>
      <c r="CA234" s="22">
        <f t="shared" si="251"/>
        <v>-1099.7346773990369</v>
      </c>
      <c r="CB234" s="22">
        <f t="shared" si="252"/>
        <v>-493.18722166118005</v>
      </c>
      <c r="CD234" s="22">
        <f>CD$5+SUM(CE$5:CE233)+SUM(R$5:R233)-SUM(S$5:S233)-SUM(CF$5:CF233)</f>
        <v>226419.52057131688</v>
      </c>
      <c r="CE234" s="22">
        <f t="shared" si="244"/>
        <v>269.30752539493142</v>
      </c>
      <c r="CF234" s="22">
        <f t="shared" si="238"/>
        <v>1592.9218990602169</v>
      </c>
      <c r="CG234" s="22">
        <f t="shared" si="245"/>
        <v>1323.6143736652855</v>
      </c>
      <c r="CI234" s="89">
        <f t="shared" si="239"/>
        <v>0.32140000000000002</v>
      </c>
      <c r="CJ234" s="22">
        <f t="shared" si="240"/>
        <v>-511.97</v>
      </c>
      <c r="CK234" s="15">
        <f t="shared" si="246"/>
        <v>0</v>
      </c>
      <c r="CM234" s="22">
        <f t="shared" si="247"/>
        <v>-220231.7308989001</v>
      </c>
      <c r="CN234" s="15">
        <f t="shared" si="253"/>
        <v>-38.540552907307514</v>
      </c>
    </row>
    <row r="235" spans="1:92">
      <c r="A235" s="25"/>
      <c r="B235" s="80">
        <v>44256</v>
      </c>
      <c r="C235" s="81">
        <f t="shared" si="217"/>
        <v>4.1573000000000002</v>
      </c>
      <c r="D235" s="82">
        <f t="shared" si="248"/>
        <v>4.282019</v>
      </c>
      <c r="E235" s="73">
        <f t="shared" si="303"/>
        <v>-373.17844592260116</v>
      </c>
      <c r="F235" s="19">
        <f t="shared" si="304"/>
        <v>-1597.9571958310507</v>
      </c>
      <c r="G235" s="19">
        <f t="shared" si="305"/>
        <v>-1176.7926551197152</v>
      </c>
      <c r="H235" s="19">
        <f t="shared" si="306"/>
        <v>421.16454071133558</v>
      </c>
      <c r="I235" s="62"/>
      <c r="K235" s="15">
        <f>IF(B235&lt;=Dane_kredytowe!F$9,0,K234+1)</f>
        <v>155</v>
      </c>
      <c r="L235" s="83">
        <f t="shared" si="218"/>
        <v>-7.7000000000000002E-3</v>
      </c>
      <c r="M235" s="84">
        <f>L235+Dane_kredytowe!F$12</f>
        <v>2.23E-2</v>
      </c>
      <c r="N235" s="79">
        <f>MAX(Dane_kredytowe!F$17+SUM(AA$5:AA234)-SUM(X$5:X235)+SUM(W$5:W235),0)</f>
        <v>63822.507009709872</v>
      </c>
      <c r="O235" s="85">
        <f>MAX(Dane_kredytowe!F$8+SUM(V$5:V234)-SUM(S$5:S235)+SUM(R$5:R234),0)</f>
        <v>201259.90206821964</v>
      </c>
      <c r="P235" s="67">
        <f t="shared" ref="P235:P276" si="316">P234</f>
        <v>360</v>
      </c>
      <c r="Q235" s="127" t="str">
        <f>IF(AND(K235&gt;0,K235&lt;=Dane_kredytowe!F$16),"tak","nie")</f>
        <v>nie</v>
      </c>
      <c r="R235" s="69"/>
      <c r="S235" s="86">
        <f>IF(Dane_kredytowe!F$19=B235,O234+V234,_xlfn.XLOOKUP(B235,Dane_kredytowe!M$9:M$18,Dane_kredytowe!N$9:N$18,0))</f>
        <v>0</v>
      </c>
      <c r="T235" s="71">
        <f t="shared" si="219"/>
        <v>-374.00798467677487</v>
      </c>
      <c r="U235" s="72">
        <f>IF(Q235="tak",T235,IF(P235-SUM(AB$5:AB235)+1&gt;0,IF(Dane_kredytowe!F$9&lt;B235,IF(SUM(AB$5:AB235)-Dane_kredytowe!F$16+1&gt;0,PMT(M235/12,P235+1-SUM(AB$5:AB235),O235),T235),0),0))</f>
        <v>-1176.7926551197152</v>
      </c>
      <c r="V235" s="72">
        <f t="shared" si="241"/>
        <v>-802.7846704429403</v>
      </c>
      <c r="W235" s="19" t="str">
        <f t="shared" si="242"/>
        <v xml:space="preserve"> </v>
      </c>
      <c r="X235" s="19">
        <f t="shared" si="266"/>
        <v>0</v>
      </c>
      <c r="Y235" s="73">
        <f t="shared" si="220"/>
        <v>-118.60349219304419</v>
      </c>
      <c r="Z235" s="19">
        <f>IF(P235-SUM(AB$5:AB235)+1&gt;0,IF(Dane_kredytowe!F$9&lt;B235,IF(SUM(AB$5:AB235)-Dane_kredytowe!F$16+1&gt;0,PMT(M235/12,P235+1-SUM(AB$5:AB235),N235),Y235),0),0)</f>
        <v>-373.17844592260116</v>
      </c>
      <c r="AA235" s="19">
        <f t="shared" si="307"/>
        <v>-254.57495372955697</v>
      </c>
      <c r="AB235" s="20">
        <f>IF(AND(Dane_kredytowe!F$9&lt;B235,SUM(AB$5:AB234)&lt;P234),1," ")</f>
        <v>1</v>
      </c>
      <c r="AD235" s="75">
        <f>IF(OR(B235&lt;Dane_kredytowe!F$15,Dane_kredytowe!F$15=""),-F235+S235,0)</f>
        <v>0</v>
      </c>
      <c r="AE235" s="75">
        <f t="shared" si="221"/>
        <v>373.17844592260116</v>
      </c>
      <c r="AG235" s="22">
        <f>Dane_kredytowe!F$17-SUM(AI$5:AI234)+SUM(W$42:W235)-SUM(X$42:X235)</f>
        <v>54438.420000000035</v>
      </c>
      <c r="AH235" s="22">
        <f t="shared" si="222"/>
        <v>101.16</v>
      </c>
      <c r="AI235" s="22">
        <f t="shared" si="223"/>
        <v>264.26</v>
      </c>
      <c r="AJ235" s="22">
        <f t="shared" si="308"/>
        <v>365.41999999999996</v>
      </c>
      <c r="AK235" s="22">
        <f t="shared" si="224"/>
        <v>1564.74</v>
      </c>
      <c r="AL235" s="22">
        <f>Dane_kredytowe!F$8-SUM(AN$5:AN234)+SUM(R$42:R234)-SUM(S$42:S235)</f>
        <v>171667.00999999986</v>
      </c>
      <c r="AM235" s="22">
        <f t="shared" si="225"/>
        <v>319.01</v>
      </c>
      <c r="AN235" s="22">
        <f t="shared" si="226"/>
        <v>833.33</v>
      </c>
      <c r="AO235" s="22">
        <f t="shared" si="309"/>
        <v>1152.3400000000001</v>
      </c>
      <c r="AP235" s="22">
        <f t="shared" si="310"/>
        <v>412.39999999999986</v>
      </c>
      <c r="AR235" s="87">
        <f t="shared" si="227"/>
        <v>44256</v>
      </c>
      <c r="AS235" s="23">
        <f>AS$5+SUM(AV$5:AV234)-SUM(X$5:X235)+SUM(W$5:W235)</f>
        <v>93288.171905172727</v>
      </c>
      <c r="AT235" s="22">
        <f t="shared" si="228"/>
        <v>-173.36051945711264</v>
      </c>
      <c r="AU235" s="22">
        <f>IF(AB235=1,IF(Q235="tak",AT235,PMT(M235/12,P235+1-SUM(AB$5:AB235),AS235)),0)</f>
        <v>-545.46799625461904</v>
      </c>
      <c r="AV235" s="22">
        <f t="shared" si="311"/>
        <v>-372.10747679750637</v>
      </c>
      <c r="AW235" s="22">
        <f t="shared" si="229"/>
        <v>-2267.6741008293279</v>
      </c>
      <c r="AY235" s="23">
        <f>AY$5+SUM(BA$5:BA234)+SUM(W$5:W234)-SUM(X$5:X234)</f>
        <v>79570.691437842033</v>
      </c>
      <c r="AZ235" s="23">
        <f t="shared" si="230"/>
        <v>-173.36051945711264</v>
      </c>
      <c r="BA235" s="23">
        <f t="shared" si="231"/>
        <v>-386.27</v>
      </c>
      <c r="BB235" s="23">
        <f t="shared" si="312"/>
        <v>-559.63051945711265</v>
      </c>
      <c r="BC235" s="23">
        <f t="shared" si="232"/>
        <v>-2326.5519585390543</v>
      </c>
      <c r="BE235" s="88">
        <f t="shared" si="233"/>
        <v>2.0999999999999999E-3</v>
      </c>
      <c r="BF235" s="89">
        <f>BE235+Dane_kredytowe!F$12</f>
        <v>3.2099999999999997E-2</v>
      </c>
      <c r="BG235" s="23">
        <f>BG$5+SUM(BH$5:BH234)+SUM(R$5:R234)-SUM(S$5:S234)</f>
        <v>227557.27923114313</v>
      </c>
      <c r="BH235" s="22">
        <f t="shared" si="313"/>
        <v>-829.54145333417148</v>
      </c>
      <c r="BI235" s="22">
        <f t="shared" si="314"/>
        <v>-608.71572194330781</v>
      </c>
      <c r="BJ235" s="22">
        <f>IF(U235&lt;0,PMT(BF235/12,Dane_kredytowe!F$13-SUM(AB$5:AB235)+1,BG235),0)</f>
        <v>-1438.2571752774793</v>
      </c>
      <c r="BL235" s="23">
        <f>BL$5+SUM(BN$5:BN234)+SUM(R$5:R234)-SUM(S$5:S234)</f>
        <v>171666.66666666698</v>
      </c>
      <c r="BM235" s="23">
        <f t="shared" si="194"/>
        <v>-459.20833333333411</v>
      </c>
      <c r="BN235" s="23">
        <f t="shared" si="234"/>
        <v>-833.33333333333485</v>
      </c>
      <c r="BO235" s="23">
        <f t="shared" si="315"/>
        <v>-1292.541666666669</v>
      </c>
      <c r="BQ235" s="89">
        <f t="shared" si="235"/>
        <v>1.8800000000000001E-2</v>
      </c>
      <c r="BR235" s="23">
        <f>BR$5+SUM(BS$5:BS234)+SUM(R$5:R234)-SUM(S$5:S234)+SUM(BV$5:BV234)</f>
        <v>258144.59779233678</v>
      </c>
      <c r="BS235" s="22">
        <f t="shared" si="249"/>
        <v>-1062.7467338680476</v>
      </c>
      <c r="BT235" s="22">
        <f t="shared" si="250"/>
        <v>-404.42653654132761</v>
      </c>
      <c r="BU235" s="22">
        <f>IF(U235&lt;0,PMT(BQ235/12,Dane_kredytowe!F$13-SUM(AB$5:AB235)+1,BR235),0)</f>
        <v>-1467.1732704093752</v>
      </c>
      <c r="BV235" s="22">
        <f t="shared" si="243"/>
        <v>-130.78392542167558</v>
      </c>
      <c r="BX235" s="23">
        <f>BX$5+SUM(BZ$5:BZ234)+SUM(R$5:R234)-SUM(S$5:S234)+SUM(CB$5,CB234)</f>
        <v>171091.4178570217</v>
      </c>
      <c r="BY235" s="22">
        <f t="shared" si="236"/>
        <v>-268.043221309334</v>
      </c>
      <c r="BZ235" s="22">
        <f t="shared" si="237"/>
        <v>-830.54086338360048</v>
      </c>
      <c r="CA235" s="22">
        <f t="shared" si="251"/>
        <v>-1098.5840846929345</v>
      </c>
      <c r="CB235" s="22">
        <f t="shared" si="252"/>
        <v>-499.3731111381162</v>
      </c>
      <c r="CD235" s="22">
        <f>CD$5+SUM(CE$5:CE234)+SUM(R$5:R234)-SUM(S$5:S234)-SUM(CF$5:CF234)</f>
        <v>225095.90619765161</v>
      </c>
      <c r="CE235" s="22">
        <f t="shared" si="244"/>
        <v>268.043221309334</v>
      </c>
      <c r="CF235" s="22">
        <f t="shared" si="238"/>
        <v>1597.9571958310507</v>
      </c>
      <c r="CG235" s="22">
        <f t="shared" si="245"/>
        <v>1329.9139745217167</v>
      </c>
      <c r="CI235" s="89">
        <f t="shared" si="239"/>
        <v>0.30830000000000002</v>
      </c>
      <c r="CJ235" s="22">
        <f t="shared" si="240"/>
        <v>-492.65</v>
      </c>
      <c r="CK235" s="15">
        <f t="shared" si="246"/>
        <v>0</v>
      </c>
      <c r="CM235" s="22">
        <f t="shared" si="247"/>
        <v>-221829.68809473116</v>
      </c>
      <c r="CN235" s="15">
        <f t="shared" si="253"/>
        <v>-38.820195416577953</v>
      </c>
    </row>
    <row r="236" spans="1:92">
      <c r="A236" s="25"/>
      <c r="B236" s="80">
        <v>44287</v>
      </c>
      <c r="C236" s="81">
        <f t="shared" si="217"/>
        <v>4.1365999999999996</v>
      </c>
      <c r="D236" s="82">
        <f t="shared" si="248"/>
        <v>4.2606979999999997</v>
      </c>
      <c r="E236" s="73">
        <f t="shared" si="303"/>
        <v>-373.17844592260116</v>
      </c>
      <c r="F236" s="19">
        <f t="shared" si="304"/>
        <v>-1590.0006581855348</v>
      </c>
      <c r="G236" s="19">
        <f t="shared" si="305"/>
        <v>-1176.7926551197152</v>
      </c>
      <c r="H236" s="19">
        <f t="shared" si="306"/>
        <v>413.20800306581964</v>
      </c>
      <c r="I236" s="62"/>
      <c r="K236" s="15">
        <f>IF(B236&lt;=Dane_kredytowe!F$9,0,K235+1)</f>
        <v>156</v>
      </c>
      <c r="L236" s="83">
        <f t="shared" si="218"/>
        <v>-7.7000000000000002E-3</v>
      </c>
      <c r="M236" s="84">
        <f>L236+Dane_kredytowe!F$12</f>
        <v>2.23E-2</v>
      </c>
      <c r="N236" s="79">
        <f>MAX(Dane_kredytowe!F$17+SUM(AA$5:AA235)-SUM(X$5:X236)+SUM(W$5:W236),0)</f>
        <v>63567.932055980316</v>
      </c>
      <c r="O236" s="85">
        <f>MAX(Dane_kredytowe!F$8+SUM(V$5:V235)-SUM(S$5:S236)+SUM(R$5:R235),0)</f>
        <v>200457.11739777669</v>
      </c>
      <c r="P236" s="67">
        <f t="shared" si="316"/>
        <v>360</v>
      </c>
      <c r="Q236" s="127" t="str">
        <f>IF(AND(K236&gt;0,K236&lt;=Dane_kredytowe!F$16),"tak","nie")</f>
        <v>nie</v>
      </c>
      <c r="R236" s="69"/>
      <c r="S236" s="86">
        <f>IF(Dane_kredytowe!F$19=B236,O235+V235,_xlfn.XLOOKUP(B236,Dane_kredytowe!M$9:M$18,Dane_kredytowe!N$9:N$18,0))</f>
        <v>0</v>
      </c>
      <c r="T236" s="71">
        <f t="shared" si="219"/>
        <v>-372.51614316420165</v>
      </c>
      <c r="U236" s="72">
        <f>IF(Q236="tak",T236,IF(P236-SUM(AB$5:AB236)+1&gt;0,IF(Dane_kredytowe!F$9&lt;B236,IF(SUM(AB$5:AB236)-Dane_kredytowe!F$16+1&gt;0,PMT(M236/12,P236+1-SUM(AB$5:AB236),O236),T236),0),0))</f>
        <v>-1176.7926551197152</v>
      </c>
      <c r="V236" s="72">
        <f t="shared" si="241"/>
        <v>-804.27651195551357</v>
      </c>
      <c r="W236" s="19" t="str">
        <f t="shared" si="242"/>
        <v xml:space="preserve"> </v>
      </c>
      <c r="X236" s="19">
        <f t="shared" si="266"/>
        <v>0</v>
      </c>
      <c r="Y236" s="73">
        <f t="shared" si="220"/>
        <v>-118.13040707069676</v>
      </c>
      <c r="Z236" s="19">
        <f>IF(P236-SUM(AB$5:AB236)+1&gt;0,IF(Dane_kredytowe!F$9&lt;B236,IF(SUM(AB$5:AB236)-Dane_kredytowe!F$16+1&gt;0,PMT(M236/12,P236+1-SUM(AB$5:AB236),N236),Y236),0),0)</f>
        <v>-373.17844592260116</v>
      </c>
      <c r="AA236" s="19">
        <f t="shared" si="307"/>
        <v>-255.04803885190438</v>
      </c>
      <c r="AB236" s="20">
        <f>IF(AND(Dane_kredytowe!F$9&lt;B236,SUM(AB$5:AB235)&lt;P235),1," ")</f>
        <v>1</v>
      </c>
      <c r="AD236" s="75">
        <f>IF(OR(B236&lt;Dane_kredytowe!F$15,Dane_kredytowe!F$15=""),-F236+S236,0)</f>
        <v>0</v>
      </c>
      <c r="AE236" s="75">
        <f t="shared" si="221"/>
        <v>373.17844592260116</v>
      </c>
      <c r="AG236" s="22">
        <f>Dane_kredytowe!F$17-SUM(AI$5:AI235)+SUM(W$42:W236)-SUM(X$42:X236)</f>
        <v>54174.160000000033</v>
      </c>
      <c r="AH236" s="22">
        <f t="shared" si="222"/>
        <v>100.67</v>
      </c>
      <c r="AI236" s="22">
        <f t="shared" si="223"/>
        <v>264.26</v>
      </c>
      <c r="AJ236" s="22">
        <f t="shared" si="308"/>
        <v>364.93</v>
      </c>
      <c r="AK236" s="22">
        <f t="shared" si="224"/>
        <v>1554.86</v>
      </c>
      <c r="AL236" s="22">
        <f>Dane_kredytowe!F$8-SUM(AN$5:AN235)+SUM(R$42:R235)-SUM(S$42:S236)</f>
        <v>170833.67999999988</v>
      </c>
      <c r="AM236" s="22">
        <f t="shared" si="225"/>
        <v>317.47000000000003</v>
      </c>
      <c r="AN236" s="22">
        <f t="shared" si="226"/>
        <v>833.34</v>
      </c>
      <c r="AO236" s="22">
        <f t="shared" si="309"/>
        <v>1150.81</v>
      </c>
      <c r="AP236" s="22">
        <f t="shared" si="310"/>
        <v>404.04999999999995</v>
      </c>
      <c r="AR236" s="87">
        <f t="shared" si="227"/>
        <v>44287</v>
      </c>
      <c r="AS236" s="23">
        <f>AS$5+SUM(AV$5:AV235)-SUM(X$5:X236)+SUM(W$5:W236)</f>
        <v>92916.064428375219</v>
      </c>
      <c r="AT236" s="22">
        <f t="shared" si="228"/>
        <v>-172.66901972939729</v>
      </c>
      <c r="AU236" s="22">
        <f>IF(AB236=1,IF(Q236="tak",AT236,PMT(M236/12,P236+1-SUM(AB$5:AB236),AS236)),0)</f>
        <v>-545.46799625461904</v>
      </c>
      <c r="AV236" s="22">
        <f t="shared" si="311"/>
        <v>-372.79897652522175</v>
      </c>
      <c r="AW236" s="22">
        <f t="shared" si="229"/>
        <v>-2256.3829133068571</v>
      </c>
      <c r="AY236" s="23">
        <f>AY$5+SUM(BA$5:BA235)+SUM(W$5:W235)-SUM(X$5:X235)</f>
        <v>79184.421437842044</v>
      </c>
      <c r="AZ236" s="23">
        <f t="shared" si="230"/>
        <v>-172.66901972939729</v>
      </c>
      <c r="BA236" s="23">
        <f t="shared" si="231"/>
        <v>-386.27</v>
      </c>
      <c r="BB236" s="23">
        <f t="shared" si="312"/>
        <v>-558.93901972939727</v>
      </c>
      <c r="BC236" s="23">
        <f t="shared" si="232"/>
        <v>-2312.1071490126246</v>
      </c>
      <c r="BE236" s="88">
        <f t="shared" si="233"/>
        <v>2.0999999999999999E-3</v>
      </c>
      <c r="BF236" s="89">
        <f>BE236+Dane_kredytowe!F$12</f>
        <v>3.2099999999999997E-2</v>
      </c>
      <c r="BG236" s="23">
        <f>BG$5+SUM(BH$5:BH235)+SUM(R$5:R235)-SUM(S$5:S235)</f>
        <v>226727.73777780897</v>
      </c>
      <c r="BH236" s="22">
        <f t="shared" si="313"/>
        <v>-831.76047672184029</v>
      </c>
      <c r="BI236" s="22">
        <f t="shared" si="314"/>
        <v>-606.496698555639</v>
      </c>
      <c r="BJ236" s="22">
        <f>IF(U236&lt;0,PMT(BF236/12,Dane_kredytowe!F$13-SUM(AB$5:AB236)+1,BG236),0)</f>
        <v>-1438.2571752774793</v>
      </c>
      <c r="BL236" s="23">
        <f>BL$5+SUM(BN$5:BN235)+SUM(R$5:R235)-SUM(S$5:S235)</f>
        <v>170833.33333333363</v>
      </c>
      <c r="BM236" s="23">
        <f t="shared" si="194"/>
        <v>-456.97916666666742</v>
      </c>
      <c r="BN236" s="23">
        <f t="shared" si="234"/>
        <v>-833.33333333333485</v>
      </c>
      <c r="BO236" s="23">
        <f t="shared" si="315"/>
        <v>-1290.3125000000023</v>
      </c>
      <c r="BQ236" s="89">
        <f t="shared" si="235"/>
        <v>1.8800000000000001E-2</v>
      </c>
      <c r="BR236" s="23">
        <f>BR$5+SUM(BS$5:BS235)+SUM(R$5:R235)-SUM(S$5:S235)+SUM(BV$5:BV235)</f>
        <v>256951.06713304704</v>
      </c>
      <c r="BS236" s="22">
        <f t="shared" si="249"/>
        <v>-1063.8702110696588</v>
      </c>
      <c r="BT236" s="22">
        <f t="shared" si="250"/>
        <v>-402.55667184177372</v>
      </c>
      <c r="BU236" s="22">
        <f>IF(U236&lt;0,PMT(BQ236/12,Dane_kredytowe!F$13-SUM(AB$5:AB236)+1,BR236),0)</f>
        <v>-1466.4268829114326</v>
      </c>
      <c r="BV236" s="22">
        <f t="shared" si="243"/>
        <v>-123.57377527410222</v>
      </c>
      <c r="BX236" s="23">
        <f>BX$5+SUM(BZ$5:BZ235)+SUM(R$5:R235)-SUM(S$5:S235)+SUM(CB$5,CB235)</f>
        <v>170254.69110416115</v>
      </c>
      <c r="BY236" s="22">
        <f t="shared" si="236"/>
        <v>-266.73234939651917</v>
      </c>
      <c r="BZ236" s="22">
        <f t="shared" si="237"/>
        <v>-830.51068831298119</v>
      </c>
      <c r="CA236" s="22">
        <f t="shared" si="251"/>
        <v>-1097.2430377095004</v>
      </c>
      <c r="CB236" s="22">
        <f t="shared" si="252"/>
        <v>-492.75762047603439</v>
      </c>
      <c r="CD236" s="22">
        <f>CD$5+SUM(CE$5:CE235)+SUM(R$5:R235)-SUM(S$5:S235)-SUM(CF$5:CF235)</f>
        <v>223765.99222312987</v>
      </c>
      <c r="CE236" s="22">
        <f t="shared" si="244"/>
        <v>266.73234939651917</v>
      </c>
      <c r="CF236" s="22">
        <f t="shared" si="238"/>
        <v>1590.0006581855348</v>
      </c>
      <c r="CG236" s="22">
        <f t="shared" si="245"/>
        <v>1323.2683087890157</v>
      </c>
      <c r="CI236" s="89">
        <f t="shared" si="239"/>
        <v>0.2979</v>
      </c>
      <c r="CJ236" s="22">
        <f t="shared" si="240"/>
        <v>-473.66</v>
      </c>
      <c r="CK236" s="15">
        <f t="shared" si="246"/>
        <v>0</v>
      </c>
      <c r="CM236" s="22">
        <f t="shared" si="247"/>
        <v>-223419.6887529167</v>
      </c>
      <c r="CN236" s="15">
        <f t="shared" si="253"/>
        <v>-39.098445531760419</v>
      </c>
    </row>
    <row r="237" spans="1:92">
      <c r="A237" s="25"/>
      <c r="B237" s="80">
        <v>44317</v>
      </c>
      <c r="C237" s="81">
        <f t="shared" si="217"/>
        <v>4.1304999999999996</v>
      </c>
      <c r="D237" s="82">
        <f t="shared" si="248"/>
        <v>4.2544149999999998</v>
      </c>
      <c r="E237" s="73">
        <f t="shared" si="303"/>
        <v>-373.17844592260116</v>
      </c>
      <c r="F237" s="19">
        <f t="shared" si="304"/>
        <v>-1587.6559780098032</v>
      </c>
      <c r="G237" s="19">
        <f t="shared" si="305"/>
        <v>-1176.7926551197154</v>
      </c>
      <c r="H237" s="19">
        <f t="shared" si="306"/>
        <v>410.86332289008783</v>
      </c>
      <c r="I237" s="62"/>
      <c r="K237" s="15">
        <f>IF(B237&lt;=Dane_kredytowe!F$9,0,K236+1)</f>
        <v>157</v>
      </c>
      <c r="L237" s="83">
        <f t="shared" si="218"/>
        <v>-7.7000000000000002E-3</v>
      </c>
      <c r="M237" s="84">
        <f>L237+Dane_kredytowe!F$12</f>
        <v>2.23E-2</v>
      </c>
      <c r="N237" s="79">
        <f>MAX(Dane_kredytowe!F$17+SUM(AA$5:AA236)-SUM(X$5:X237)+SUM(W$5:W237),0)</f>
        <v>63312.88401712841</v>
      </c>
      <c r="O237" s="85">
        <f>MAX(Dane_kredytowe!F$8+SUM(V$5:V236)-SUM(S$5:S237)+SUM(R$5:R236),0)</f>
        <v>199652.84088582121</v>
      </c>
      <c r="P237" s="67">
        <f t="shared" si="316"/>
        <v>360</v>
      </c>
      <c r="Q237" s="127" t="str">
        <f>IF(AND(K237&gt;0,K237&lt;=Dane_kredytowe!F$16),"tak","nie")</f>
        <v>nie</v>
      </c>
      <c r="R237" s="69"/>
      <c r="S237" s="86">
        <f>IF(Dane_kredytowe!F$19=B237,O236+V236,_xlfn.XLOOKUP(B237,Dane_kredytowe!M$9:M$18,Dane_kredytowe!N$9:N$18,0))</f>
        <v>0</v>
      </c>
      <c r="T237" s="71">
        <f t="shared" si="219"/>
        <v>-371.02152931281779</v>
      </c>
      <c r="U237" s="72">
        <f>IF(Q237="tak",T237,IF(P237-SUM(AB$5:AB237)+1&gt;0,IF(Dane_kredytowe!F$9&lt;B237,IF(SUM(AB$5:AB237)-Dane_kredytowe!F$16+1&gt;0,PMT(M237/12,P237+1-SUM(AB$5:AB237),O237),T237),0),0))</f>
        <v>-1176.7926551197154</v>
      </c>
      <c r="V237" s="72">
        <f t="shared" si="241"/>
        <v>-805.77112580689754</v>
      </c>
      <c r="W237" s="19" t="str">
        <f t="shared" si="242"/>
        <v xml:space="preserve"> </v>
      </c>
      <c r="X237" s="19">
        <f t="shared" si="266"/>
        <v>0</v>
      </c>
      <c r="Y237" s="73">
        <f t="shared" si="220"/>
        <v>-117.65644279849697</v>
      </c>
      <c r="Z237" s="19">
        <f>IF(P237-SUM(AB$5:AB237)+1&gt;0,IF(Dane_kredytowe!F$9&lt;B237,IF(SUM(AB$5:AB237)-Dane_kredytowe!F$16+1&gt;0,PMT(M237/12,P237+1-SUM(AB$5:AB237),N237),Y237),0),0)</f>
        <v>-373.17844592260116</v>
      </c>
      <c r="AA237" s="19">
        <f t="shared" si="307"/>
        <v>-255.52200312410417</v>
      </c>
      <c r="AB237" s="20">
        <f>IF(AND(Dane_kredytowe!F$9&lt;B237,SUM(AB$5:AB236)&lt;P236),1," ")</f>
        <v>1</v>
      </c>
      <c r="AD237" s="75">
        <f>IF(OR(B237&lt;Dane_kredytowe!F$15,Dane_kredytowe!F$15=""),-F237+S237,0)</f>
        <v>0</v>
      </c>
      <c r="AE237" s="75">
        <f t="shared" si="221"/>
        <v>373.17844592260116</v>
      </c>
      <c r="AG237" s="22">
        <f>Dane_kredytowe!F$17-SUM(AI$5:AI236)+SUM(W$42:W237)-SUM(X$42:X237)</f>
        <v>53909.900000000031</v>
      </c>
      <c r="AH237" s="22">
        <f t="shared" si="222"/>
        <v>100.18</v>
      </c>
      <c r="AI237" s="22">
        <f t="shared" si="223"/>
        <v>264.26</v>
      </c>
      <c r="AJ237" s="22">
        <f t="shared" si="308"/>
        <v>364.44</v>
      </c>
      <c r="AK237" s="22">
        <f t="shared" si="224"/>
        <v>1550.48</v>
      </c>
      <c r="AL237" s="22">
        <f>Dane_kredytowe!F$8-SUM(AN$5:AN236)+SUM(R$42:R236)-SUM(S$42:S237)</f>
        <v>170000.33999999985</v>
      </c>
      <c r="AM237" s="22">
        <f t="shared" si="225"/>
        <v>315.92</v>
      </c>
      <c r="AN237" s="22">
        <f t="shared" si="226"/>
        <v>833.33</v>
      </c>
      <c r="AO237" s="22">
        <f t="shared" si="309"/>
        <v>1149.25</v>
      </c>
      <c r="AP237" s="22">
        <f t="shared" si="310"/>
        <v>401.23</v>
      </c>
      <c r="AR237" s="87">
        <f t="shared" si="227"/>
        <v>44317</v>
      </c>
      <c r="AS237" s="23">
        <f>AS$5+SUM(AV$5:AV236)-SUM(X$5:X237)+SUM(W$5:W237)</f>
        <v>92543.265451850006</v>
      </c>
      <c r="AT237" s="22">
        <f t="shared" si="228"/>
        <v>-171.97623496468793</v>
      </c>
      <c r="AU237" s="22">
        <f>IF(AB237=1,IF(Q237="tak",AT237,PMT(M237/12,P237+1-SUM(AB$5:AB237),AS237)),0)</f>
        <v>-545.46799625461904</v>
      </c>
      <c r="AV237" s="22">
        <f t="shared" si="311"/>
        <v>-373.49176128993111</v>
      </c>
      <c r="AW237" s="22">
        <f t="shared" si="229"/>
        <v>-2253.0555585297038</v>
      </c>
      <c r="AY237" s="23">
        <f>AY$5+SUM(BA$5:BA236)+SUM(W$5:W236)-SUM(X$5:X236)</f>
        <v>78798.151437842054</v>
      </c>
      <c r="AZ237" s="23">
        <f t="shared" si="230"/>
        <v>-171.97623496468793</v>
      </c>
      <c r="BA237" s="23">
        <f t="shared" si="231"/>
        <v>-386.27</v>
      </c>
      <c r="BB237" s="23">
        <f t="shared" si="312"/>
        <v>-558.24623496468791</v>
      </c>
      <c r="BC237" s="23">
        <f t="shared" si="232"/>
        <v>-2305.8360735216434</v>
      </c>
      <c r="BE237" s="88">
        <f t="shared" si="233"/>
        <v>2.0999999999999999E-3</v>
      </c>
      <c r="BF237" s="89">
        <f>BE237+Dane_kredytowe!F$12</f>
        <v>3.2099999999999997E-2</v>
      </c>
      <c r="BG237" s="23">
        <f>BG$5+SUM(BH$5:BH236)+SUM(R$5:R236)-SUM(S$5:S236)</f>
        <v>225895.97730108711</v>
      </c>
      <c r="BH237" s="22">
        <f t="shared" si="313"/>
        <v>-833.98543599707114</v>
      </c>
      <c r="BI237" s="22">
        <f t="shared" si="314"/>
        <v>-604.27173928040793</v>
      </c>
      <c r="BJ237" s="22">
        <f>IF(U237&lt;0,PMT(BF237/12,Dane_kredytowe!F$13-SUM(AB$5:AB237)+1,BG237),0)</f>
        <v>-1438.2571752774791</v>
      </c>
      <c r="BL237" s="23">
        <f>BL$5+SUM(BN$5:BN236)+SUM(R$5:R236)-SUM(S$5:S236)</f>
        <v>170000.00000000029</v>
      </c>
      <c r="BM237" s="23">
        <f t="shared" si="194"/>
        <v>-454.75000000000074</v>
      </c>
      <c r="BN237" s="23">
        <f t="shared" si="234"/>
        <v>-833.33333333333474</v>
      </c>
      <c r="BO237" s="23">
        <f t="shared" si="315"/>
        <v>-1288.0833333333355</v>
      </c>
      <c r="BQ237" s="89">
        <f t="shared" si="235"/>
        <v>1.8800000000000001E-2</v>
      </c>
      <c r="BR237" s="23">
        <f>BR$5+SUM(BS$5:BS236)+SUM(R$5:R236)-SUM(S$5:S236)+SUM(BV$5:BV236)</f>
        <v>255763.62314670326</v>
      </c>
      <c r="BS237" s="22">
        <f t="shared" si="249"/>
        <v>-1065.0223689270683</v>
      </c>
      <c r="BT237" s="22">
        <f t="shared" si="250"/>
        <v>-400.69634292983511</v>
      </c>
      <c r="BU237" s="22">
        <f>IF(U237&lt;0,PMT(BQ237/12,Dane_kredytowe!F$13-SUM(AB$5:AB237)+1,BR237),0)</f>
        <v>-1465.7187118569034</v>
      </c>
      <c r="BV237" s="22">
        <f t="shared" si="243"/>
        <v>-121.93726615289984</v>
      </c>
      <c r="BX237" s="23">
        <f>BX$5+SUM(BZ$5:BZ236)+SUM(R$5:R236)-SUM(S$5:S236)+SUM(CB$5,CB236)</f>
        <v>169430.79590651023</v>
      </c>
      <c r="BY237" s="22">
        <f t="shared" si="236"/>
        <v>-265.44158025353272</v>
      </c>
      <c r="BZ237" s="22">
        <f t="shared" si="237"/>
        <v>-830.54311718877568</v>
      </c>
      <c r="CA237" s="22">
        <f t="shared" si="251"/>
        <v>-1095.9846974423085</v>
      </c>
      <c r="CB237" s="22">
        <f t="shared" si="252"/>
        <v>-491.6712805674947</v>
      </c>
      <c r="CD237" s="22">
        <f>CD$5+SUM(CE$5:CE236)+SUM(R$5:R236)-SUM(S$5:S236)-SUM(CF$5:CF236)</f>
        <v>222442.72391434084</v>
      </c>
      <c r="CE237" s="22">
        <f t="shared" si="244"/>
        <v>265.44158025353272</v>
      </c>
      <c r="CF237" s="22">
        <f t="shared" si="238"/>
        <v>1587.6559780098032</v>
      </c>
      <c r="CG237" s="22">
        <f t="shared" si="245"/>
        <v>1322.2143977562705</v>
      </c>
      <c r="CI237" s="89">
        <f t="shared" si="239"/>
        <v>0.29409999999999997</v>
      </c>
      <c r="CJ237" s="22">
        <f t="shared" si="240"/>
        <v>-466.93</v>
      </c>
      <c r="CK237" s="15">
        <f t="shared" si="246"/>
        <v>0</v>
      </c>
      <c r="CM237" s="22">
        <f t="shared" si="247"/>
        <v>-225007.3447309265</v>
      </c>
      <c r="CN237" s="15">
        <f t="shared" si="253"/>
        <v>-39.376285327912136</v>
      </c>
    </row>
    <row r="238" spans="1:92">
      <c r="A238" s="25"/>
      <c r="B238" s="80">
        <v>44348</v>
      </c>
      <c r="C238" s="81">
        <f t="shared" si="217"/>
        <v>4.1151999999999997</v>
      </c>
      <c r="D238" s="82">
        <f t="shared" si="248"/>
        <v>4.2386559999999998</v>
      </c>
      <c r="E238" s="73">
        <f>Z238</f>
        <v>-373.17844592260116</v>
      </c>
      <c r="F238" s="19">
        <f>E238*D238</f>
        <v>-1581.7750588805088</v>
      </c>
      <c r="G238" s="19">
        <f>U238</f>
        <v>-1176.7926551197152</v>
      </c>
      <c r="H238" s="19">
        <f>G238-F238</f>
        <v>404.98240376079366</v>
      </c>
      <c r="I238" s="62"/>
      <c r="K238" s="15">
        <f>IF(B238&lt;=Dane_kredytowe!F$9,0,K237+1)</f>
        <v>158</v>
      </c>
      <c r="L238" s="83">
        <f t="shared" si="218"/>
        <v>-7.7000000000000002E-3</v>
      </c>
      <c r="M238" s="84">
        <f>L238+Dane_kredytowe!F$12</f>
        <v>2.23E-2</v>
      </c>
      <c r="N238" s="79">
        <f>MAX(Dane_kredytowe!F$17+SUM(AA$5:AA237)-SUM(X$5:X238)+SUM(W$5:W238),0)</f>
        <v>63057.362014004306</v>
      </c>
      <c r="O238" s="85">
        <f>MAX(Dane_kredytowe!F$8+SUM(V$5:V237)-SUM(S$5:S238)+SUM(R$5:R237),0)</f>
        <v>198847.0697600143</v>
      </c>
      <c r="P238" s="67">
        <f t="shared" si="316"/>
        <v>360</v>
      </c>
      <c r="Q238" s="127" t="str">
        <f>IF(AND(K238&gt;0,K238&lt;=Dane_kredytowe!F$16),"tak","nie")</f>
        <v>nie</v>
      </c>
      <c r="R238" s="69"/>
      <c r="S238" s="86">
        <f>IF(Dane_kredytowe!F$19=B238,O237+V237,_xlfn.XLOOKUP(B238,Dane_kredytowe!M$9:M$18,Dane_kredytowe!N$9:N$18,0))</f>
        <v>0</v>
      </c>
      <c r="T238" s="71">
        <f t="shared" si="219"/>
        <v>-369.52413797069329</v>
      </c>
      <c r="U238" s="72">
        <f>IF(Q238="tak",T238,IF(P238-SUM(AB$5:AB238)+1&gt;0,IF(Dane_kredytowe!F$9&lt;B238,IF(SUM(AB$5:AB238)-Dane_kredytowe!F$16+1&gt;0,PMT(M238/12,P238+1-SUM(AB$5:AB238),O238),T238),0),0))</f>
        <v>-1176.7926551197152</v>
      </c>
      <c r="V238" s="72">
        <f t="shared" si="241"/>
        <v>-807.26851714902182</v>
      </c>
      <c r="W238" s="19" t="str">
        <f t="shared" si="242"/>
        <v xml:space="preserve"> </v>
      </c>
      <c r="X238" s="19">
        <f t="shared" si="266"/>
        <v>0</v>
      </c>
      <c r="Y238" s="73">
        <f t="shared" si="220"/>
        <v>-117.18159774269134</v>
      </c>
      <c r="Z238" s="19">
        <f>IF(P238-SUM(AB$5:AB238)+1&gt;0,IF(Dane_kredytowe!F$9&lt;B238,IF(SUM(AB$5:AB238)-Dane_kredytowe!F$16+1&gt;0,PMT(M238/12,P238+1-SUM(AB$5:AB238),N238),Y238),0),0)</f>
        <v>-373.17844592260116</v>
      </c>
      <c r="AA238" s="19">
        <f>Z238-Y238</f>
        <v>-255.99684817990982</v>
      </c>
      <c r="AB238" s="20">
        <f>IF(AND(Dane_kredytowe!F$9&lt;B238,SUM(AB$5:AB237)&lt;P237),1," ")</f>
        <v>1</v>
      </c>
      <c r="AD238" s="75">
        <f>IF(OR(B238&lt;Dane_kredytowe!F$15,Dane_kredytowe!F$15=""),-F238+S238,0)</f>
        <v>0</v>
      </c>
      <c r="AE238" s="75">
        <f t="shared" si="221"/>
        <v>373.17844592260116</v>
      </c>
      <c r="AG238" s="22">
        <f>Dane_kredytowe!F$17-SUM(AI$5:AI237)+SUM(W$42:W238)-SUM(X$42:X238)</f>
        <v>53645.640000000029</v>
      </c>
      <c r="AH238" s="22">
        <f t="shared" si="222"/>
        <v>99.69</v>
      </c>
      <c r="AI238" s="22">
        <f t="shared" si="223"/>
        <v>264.26</v>
      </c>
      <c r="AJ238" s="22">
        <f>AI238+AH238</f>
        <v>363.95</v>
      </c>
      <c r="AK238" s="22">
        <f t="shared" si="224"/>
        <v>1542.66</v>
      </c>
      <c r="AL238" s="22">
        <f>Dane_kredytowe!F$8-SUM(AN$5:AN237)+SUM(R$42:R237)-SUM(S$42:S238)</f>
        <v>169167.00999999986</v>
      </c>
      <c r="AM238" s="22">
        <f t="shared" si="225"/>
        <v>314.37</v>
      </c>
      <c r="AN238" s="22">
        <f t="shared" si="226"/>
        <v>833.34</v>
      </c>
      <c r="AO238" s="22">
        <f>AN238+AM238</f>
        <v>1147.71</v>
      </c>
      <c r="AP238" s="22">
        <f>AK238-AO238</f>
        <v>394.95000000000005</v>
      </c>
      <c r="AR238" s="87">
        <f t="shared" si="227"/>
        <v>44348</v>
      </c>
      <c r="AS238" s="23">
        <f>AS$5+SUM(AV$5:AV237)-SUM(X$5:X238)+SUM(W$5:W238)</f>
        <v>92169.773690560076</v>
      </c>
      <c r="AT238" s="22">
        <f t="shared" si="228"/>
        <v>-171.28216277495747</v>
      </c>
      <c r="AU238" s="22">
        <f>IF(AB238=1,IF(Q238="tak",AT238,PMT(M238/12,P238+1-SUM(AB$5:AB238),AS238)),0)</f>
        <v>-545.46799625461904</v>
      </c>
      <c r="AV238" s="22">
        <f>AU238-AT238</f>
        <v>-374.1858334796616</v>
      </c>
      <c r="AW238" s="22">
        <f t="shared" si="229"/>
        <v>-2244.7098981870081</v>
      </c>
      <c r="AY238" s="23">
        <f>AY$5+SUM(BA$5:BA237)+SUM(W$5:W237)-SUM(X$5:X237)</f>
        <v>78411.88143784205</v>
      </c>
      <c r="AZ238" s="23">
        <f t="shared" si="230"/>
        <v>-171.28216277495747</v>
      </c>
      <c r="BA238" s="23">
        <f t="shared" si="231"/>
        <v>-386.27</v>
      </c>
      <c r="BB238" s="23">
        <f>BA238+AZ238</f>
        <v>-557.55216277495742</v>
      </c>
      <c r="BC238" s="23">
        <f t="shared" si="232"/>
        <v>-2294.4386602515046</v>
      </c>
      <c r="BE238" s="88">
        <f t="shared" si="233"/>
        <v>2.0999999999999999E-3</v>
      </c>
      <c r="BF238" s="89">
        <f>BE238+Dane_kredytowe!F$12</f>
        <v>3.2099999999999997E-2</v>
      </c>
      <c r="BG238" s="23">
        <f>BG$5+SUM(BH$5:BH237)+SUM(R$5:R237)-SUM(S$5:S237)</f>
        <v>225061.99186509004</v>
      </c>
      <c r="BH238" s="22">
        <f>IF(BJ238&lt;0,BJ238-BI238,0)</f>
        <v>-836.21634703836332</v>
      </c>
      <c r="BI238" s="22">
        <f>IF(BJ238&lt;0,-BG238*BF238/12,0)</f>
        <v>-602.04082823911574</v>
      </c>
      <c r="BJ238" s="22">
        <f>IF(U238&lt;0,PMT(BF238/12,Dane_kredytowe!F$13-SUM(AB$5:AB238)+1,BG238),0)</f>
        <v>-1438.2571752774791</v>
      </c>
      <c r="BL238" s="23">
        <f>BL$5+SUM(BN$5:BN237)+SUM(R$5:R237)-SUM(S$5:S237)</f>
        <v>169166.66666666698</v>
      </c>
      <c r="BM238" s="23">
        <f t="shared" si="194"/>
        <v>-452.52083333333411</v>
      </c>
      <c r="BN238" s="23">
        <f t="shared" si="234"/>
        <v>-833.33333333333485</v>
      </c>
      <c r="BO238" s="23">
        <f t="shared" si="315"/>
        <v>-1285.854166666669</v>
      </c>
      <c r="BQ238" s="89">
        <f t="shared" si="235"/>
        <v>1.8800000000000001E-2</v>
      </c>
      <c r="BR238" s="23">
        <f>BR$5+SUM(BS$5:BS237)+SUM(R$5:R237)-SUM(S$5:S237)+SUM(BV$5:BV237)</f>
        <v>254576.66351162334</v>
      </c>
      <c r="BS238" s="22">
        <f t="shared" si="249"/>
        <v>-1066.180224398832</v>
      </c>
      <c r="BT238" s="22">
        <f t="shared" si="250"/>
        <v>-398.83677283487663</v>
      </c>
      <c r="BU238" s="22">
        <f>IF(U238&lt;0,PMT(BQ238/12,Dane_kredytowe!F$13-SUM(AB$5:AB238)+1,BR238),0)</f>
        <v>-1465.0169972337087</v>
      </c>
      <c r="BV238" s="22">
        <f t="shared" si="243"/>
        <v>-116.75806164680012</v>
      </c>
      <c r="BX238" s="23">
        <f>BX$5+SUM(BZ$5:BZ237)+SUM(R$5:R237)-SUM(S$5:S237)+SUM(CB$5,CB237)</f>
        <v>168601.33912923001</v>
      </c>
      <c r="BY238" s="22">
        <f t="shared" si="236"/>
        <v>-264.14209796912701</v>
      </c>
      <c r="BZ238" s="22">
        <f t="shared" si="237"/>
        <v>-830.54846861689657</v>
      </c>
      <c r="CA238" s="22">
        <f t="shared" si="251"/>
        <v>-1094.6905665860236</v>
      </c>
      <c r="CB238" s="22">
        <f t="shared" si="252"/>
        <v>-487.08449229448524</v>
      </c>
      <c r="CD238" s="22">
        <f>CD$5+SUM(CE$5:CE237)+SUM(R$5:R237)-SUM(S$5:S237)-SUM(CF$5:CF237)</f>
        <v>221120.50951658457</v>
      </c>
      <c r="CE238" s="22">
        <f t="shared" si="244"/>
        <v>264.14209796912701</v>
      </c>
      <c r="CF238" s="22">
        <f t="shared" si="238"/>
        <v>1581.7750588805088</v>
      </c>
      <c r="CG238" s="22">
        <f t="shared" si="245"/>
        <v>1317.6329609113818</v>
      </c>
      <c r="CI238" s="89">
        <f t="shared" si="239"/>
        <v>0.2928</v>
      </c>
      <c r="CJ238" s="22">
        <f t="shared" si="240"/>
        <v>-463.14</v>
      </c>
      <c r="CK238" s="15">
        <f t="shared" si="246"/>
        <v>0</v>
      </c>
      <c r="CM238" s="22">
        <f t="shared" si="247"/>
        <v>-226589.11978980701</v>
      </c>
      <c r="CN238" s="15">
        <f t="shared" si="253"/>
        <v>-39.653095963216224</v>
      </c>
    </row>
    <row r="239" spans="1:92">
      <c r="A239" s="25"/>
      <c r="B239" s="80">
        <v>44378</v>
      </c>
      <c r="C239" s="81">
        <f t="shared" si="217"/>
        <v>4.2032999999999996</v>
      </c>
      <c r="D239" s="82">
        <f t="shared" si="248"/>
        <v>4.3293989999999996</v>
      </c>
      <c r="E239" s="73">
        <f>Z239</f>
        <v>-373.17844592260116</v>
      </c>
      <c r="F239" s="19">
        <f>E239*D239</f>
        <v>-1615.6383905988635</v>
      </c>
      <c r="G239" s="19">
        <f>U239</f>
        <v>-1176.7926551197152</v>
      </c>
      <c r="H239" s="19">
        <f>G239-F239</f>
        <v>438.84573547914829</v>
      </c>
      <c r="I239" s="62"/>
      <c r="K239" s="15">
        <f>IF(B239&lt;=Dane_kredytowe!F$9,0,K238+1)</f>
        <v>159</v>
      </c>
      <c r="L239" s="83">
        <f t="shared" si="218"/>
        <v>-7.7000000000000002E-3</v>
      </c>
      <c r="M239" s="84">
        <f>L239+Dane_kredytowe!F$12</f>
        <v>2.23E-2</v>
      </c>
      <c r="N239" s="79">
        <f>MAX(Dane_kredytowe!F$17+SUM(AA$5:AA238)-SUM(X$5:X239)+SUM(W$5:W239),0)</f>
        <v>62801.365165824398</v>
      </c>
      <c r="O239" s="85">
        <f>MAX(Dane_kredytowe!F$8+SUM(V$5:V238)-SUM(S$5:S239)+SUM(R$5:R238),0)</f>
        <v>198039.80124286527</v>
      </c>
      <c r="P239" s="67">
        <f t="shared" si="316"/>
        <v>360</v>
      </c>
      <c r="Q239" s="127" t="str">
        <f>IF(AND(K239&gt;0,K239&lt;=Dane_kredytowe!F$16),"tak","nie")</f>
        <v>nie</v>
      </c>
      <c r="R239" s="69"/>
      <c r="S239" s="86">
        <f>IF(Dane_kredytowe!F$19=B239,O238+V238,_xlfn.XLOOKUP(B239,Dane_kredytowe!M$9:M$18,Dane_kredytowe!N$9:N$18,0))</f>
        <v>0</v>
      </c>
      <c r="T239" s="71">
        <f t="shared" si="219"/>
        <v>-368.02396397632464</v>
      </c>
      <c r="U239" s="72">
        <f>IF(Q239="tak",T239,IF(P239-SUM(AB$5:AB239)+1&gt;0,IF(Dane_kredytowe!F$9&lt;B239,IF(SUM(AB$5:AB239)-Dane_kredytowe!F$16+1&gt;0,PMT(M239/12,P239+1-SUM(AB$5:AB239),O239),T239),0),0))</f>
        <v>-1176.7926551197152</v>
      </c>
      <c r="V239" s="72">
        <f t="shared" si="241"/>
        <v>-808.76869114339047</v>
      </c>
      <c r="W239" s="19" t="str">
        <f t="shared" si="242"/>
        <v xml:space="preserve"> </v>
      </c>
      <c r="X239" s="19">
        <f t="shared" si="266"/>
        <v>0</v>
      </c>
      <c r="Y239" s="73">
        <f t="shared" si="220"/>
        <v>-116.70587026649035</v>
      </c>
      <c r="Z239" s="19">
        <f>IF(P239-SUM(AB$5:AB239)+1&gt;0,IF(Dane_kredytowe!F$9&lt;B239,IF(SUM(AB$5:AB239)-Dane_kredytowe!F$16+1&gt;0,PMT(M239/12,P239+1-SUM(AB$5:AB239),N239),Y239),0),0)</f>
        <v>-373.17844592260116</v>
      </c>
      <c r="AA239" s="19">
        <f>Z239-Y239</f>
        <v>-256.47257565611079</v>
      </c>
      <c r="AB239" s="20">
        <f>IF(AND(Dane_kredytowe!F$9&lt;B239,SUM(AB$5:AB238)&lt;P238),1," ")</f>
        <v>1</v>
      </c>
      <c r="AD239" s="75">
        <f>IF(OR(B239&lt;Dane_kredytowe!F$15,Dane_kredytowe!F$15=""),-F239+S239,0)</f>
        <v>0</v>
      </c>
      <c r="AE239" s="75">
        <f t="shared" si="221"/>
        <v>373.17844592260116</v>
      </c>
      <c r="AG239" s="22">
        <f>Dane_kredytowe!F$17-SUM(AI$5:AI238)+SUM(W$42:W239)-SUM(X$42:X239)</f>
        <v>53381.380000000026</v>
      </c>
      <c r="AH239" s="22">
        <f t="shared" si="222"/>
        <v>99.2</v>
      </c>
      <c r="AI239" s="22">
        <f t="shared" si="223"/>
        <v>264.26</v>
      </c>
      <c r="AJ239" s="22">
        <f>AI239+AH239</f>
        <v>363.46</v>
      </c>
      <c r="AK239" s="22">
        <f t="shared" si="224"/>
        <v>1573.56</v>
      </c>
      <c r="AL239" s="22">
        <f>Dane_kredytowe!F$8-SUM(AN$5:AN238)+SUM(R$42:R238)-SUM(S$42:S239)</f>
        <v>168333.66999999987</v>
      </c>
      <c r="AM239" s="22">
        <f t="shared" si="225"/>
        <v>312.82</v>
      </c>
      <c r="AN239" s="22">
        <f t="shared" si="226"/>
        <v>833.33</v>
      </c>
      <c r="AO239" s="22">
        <f>AN239+AM239</f>
        <v>1146.1500000000001</v>
      </c>
      <c r="AP239" s="22">
        <f>AK239-AO239</f>
        <v>427.40999999999985</v>
      </c>
      <c r="AR239" s="87">
        <f t="shared" si="227"/>
        <v>44378</v>
      </c>
      <c r="AS239" s="23">
        <f>AS$5+SUM(AV$5:AV238)-SUM(X$5:X239)+SUM(W$5:W239)</f>
        <v>91795.58785708042</v>
      </c>
      <c r="AT239" s="22">
        <f t="shared" si="228"/>
        <v>-170.58680076774112</v>
      </c>
      <c r="AU239" s="22">
        <f>IF(AB239=1,IF(Q239="tak",AT239,PMT(M239/12,P239+1-SUM(AB$5:AB239),AS239)),0)</f>
        <v>-545.46799625461904</v>
      </c>
      <c r="AV239" s="22">
        <f>AU239-AT239</f>
        <v>-374.88119548687791</v>
      </c>
      <c r="AW239" s="22">
        <f t="shared" si="229"/>
        <v>-2292.76562865704</v>
      </c>
      <c r="AY239" s="23">
        <f>AY$5+SUM(BA$5:BA238)+SUM(W$5:W238)-SUM(X$5:X238)</f>
        <v>78025.611437842046</v>
      </c>
      <c r="AZ239" s="23">
        <f t="shared" si="230"/>
        <v>-170.58680076774112</v>
      </c>
      <c r="BA239" s="23">
        <f t="shared" si="231"/>
        <v>-386.27</v>
      </c>
      <c r="BB239" s="23">
        <f>BA239+AZ239</f>
        <v>-556.85680076774111</v>
      </c>
      <c r="BC239" s="23">
        <f t="shared" si="232"/>
        <v>-2340.6361906670459</v>
      </c>
      <c r="BE239" s="88">
        <f t="shared" si="233"/>
        <v>2.0999999999999999E-3</v>
      </c>
      <c r="BF239" s="89">
        <f>BE239+Dane_kredytowe!F$12</f>
        <v>3.2099999999999997E-2</v>
      </c>
      <c r="BG239" s="23">
        <f>BG$5+SUM(BH$5:BH238)+SUM(R$5:R238)-SUM(S$5:S238)</f>
        <v>224225.7755180517</v>
      </c>
      <c r="BH239" s="22">
        <f>IF(BJ239&lt;0,BJ239-BI239,0)</f>
        <v>-838.45322576669105</v>
      </c>
      <c r="BI239" s="22">
        <f>IF(BJ239&lt;0,-BG239*BF239/12,0)</f>
        <v>-599.80394951078824</v>
      </c>
      <c r="BJ239" s="22">
        <f>IF(U239&lt;0,PMT(BF239/12,Dane_kredytowe!F$13-SUM(AB$5:AB239)+1,BG239),0)</f>
        <v>-1438.2571752774793</v>
      </c>
      <c r="BL239" s="23">
        <f>BL$5+SUM(BN$5:BN238)+SUM(R$5:R238)-SUM(S$5:S238)</f>
        <v>168333.33333333363</v>
      </c>
      <c r="BM239" s="23">
        <f t="shared" si="194"/>
        <v>-450.29166666666742</v>
      </c>
      <c r="BN239" s="23">
        <f t="shared" si="234"/>
        <v>-833.33333333333485</v>
      </c>
      <c r="BO239" s="23">
        <f t="shared" si="315"/>
        <v>-1283.6250000000023</v>
      </c>
      <c r="BQ239" s="89">
        <f t="shared" si="235"/>
        <v>1.8800000000000001E-2</v>
      </c>
      <c r="BR239" s="23">
        <f>BR$5+SUM(BS$5:BS238)+SUM(R$5:R238)-SUM(S$5:S238)+SUM(BV$5:BV238)</f>
        <v>253393.72522557771</v>
      </c>
      <c r="BS239" s="22">
        <f t="shared" si="249"/>
        <v>-1067.35875879281</v>
      </c>
      <c r="BT239" s="22">
        <f t="shared" si="250"/>
        <v>-396.98350285340507</v>
      </c>
      <c r="BU239" s="22">
        <f>IF(U239&lt;0,PMT(BQ239/12,Dane_kredytowe!F$13-SUM(AB$5:AB239)+1,BR239),0)</f>
        <v>-1464.3422616462151</v>
      </c>
      <c r="BV239" s="22">
        <f t="shared" si="243"/>
        <v>-151.29612895264836</v>
      </c>
      <c r="BX239" s="23">
        <f>BX$5+SUM(BZ$5:BZ238)+SUM(R$5:R238)-SUM(S$5:S238)+SUM(CB$5,CB238)</f>
        <v>167775.37744888611</v>
      </c>
      <c r="BY239" s="22">
        <f t="shared" si="236"/>
        <v>-262.84809133658825</v>
      </c>
      <c r="BZ239" s="22">
        <f t="shared" si="237"/>
        <v>-830.57117548953522</v>
      </c>
      <c r="CA239" s="22">
        <f t="shared" si="251"/>
        <v>-1093.4192668261235</v>
      </c>
      <c r="CB239" s="22">
        <f t="shared" si="252"/>
        <v>-522.21912377273998</v>
      </c>
      <c r="CD239" s="22">
        <f>CD$5+SUM(CE$5:CE238)+SUM(R$5:R238)-SUM(S$5:S238)-SUM(CF$5:CF238)</f>
        <v>219802.8765556732</v>
      </c>
      <c r="CE239" s="22">
        <f t="shared" si="244"/>
        <v>262.84809133658825</v>
      </c>
      <c r="CF239" s="22">
        <f t="shared" si="238"/>
        <v>1615.6383905988635</v>
      </c>
      <c r="CG239" s="22">
        <f t="shared" si="245"/>
        <v>1352.7902992622753</v>
      </c>
      <c r="CI239" s="89">
        <f t="shared" si="239"/>
        <v>0.28760000000000002</v>
      </c>
      <c r="CJ239" s="22">
        <f t="shared" si="240"/>
        <v>-464.66</v>
      </c>
      <c r="CK239" s="15">
        <f t="shared" si="246"/>
        <v>0</v>
      </c>
      <c r="CM239" s="22">
        <f t="shared" si="247"/>
        <v>-228204.75818040589</v>
      </c>
      <c r="CN239" s="15">
        <f t="shared" si="253"/>
        <v>-39.935832681571029</v>
      </c>
    </row>
    <row r="240" spans="1:92">
      <c r="A240" s="25"/>
      <c r="B240" s="80">
        <v>44409</v>
      </c>
      <c r="C240" s="81">
        <f t="shared" si="217"/>
        <v>4.2465000000000002</v>
      </c>
      <c r="D240" s="82">
        <f t="shared" si="248"/>
        <v>4.3738950000000001</v>
      </c>
      <c r="E240" s="73">
        <f>Z240</f>
        <v>-373.17844592260116</v>
      </c>
      <c r="F240" s="19">
        <f>E240*D240</f>
        <v>-1632.2433387286355</v>
      </c>
      <c r="G240" s="19">
        <f>U240</f>
        <v>-1176.7926551197152</v>
      </c>
      <c r="H240" s="19">
        <f>G240-F240</f>
        <v>455.45068360892037</v>
      </c>
      <c r="I240" s="62"/>
      <c r="K240" s="15">
        <f>IF(B240&lt;=Dane_kredytowe!F$9,0,K239+1)</f>
        <v>160</v>
      </c>
      <c r="L240" s="83">
        <f t="shared" si="218"/>
        <v>-7.7000000000000002E-3</v>
      </c>
      <c r="M240" s="84">
        <f>L240+Dane_kredytowe!F$12</f>
        <v>2.23E-2</v>
      </c>
      <c r="N240" s="79">
        <f>MAX(Dane_kredytowe!F$17+SUM(AA$5:AA239)-SUM(X$5:X240)+SUM(W$5:W240),0)</f>
        <v>62544.892590168289</v>
      </c>
      <c r="O240" s="85">
        <f>MAX(Dane_kredytowe!F$8+SUM(V$5:V239)-SUM(S$5:S240)+SUM(R$5:R239),0)</f>
        <v>197231.0325517219</v>
      </c>
      <c r="P240" s="67">
        <f t="shared" si="316"/>
        <v>360</v>
      </c>
      <c r="Q240" s="127" t="str">
        <f>IF(AND(K240&gt;0,K240&lt;=Dane_kredytowe!F$16),"tak","nie")</f>
        <v>nie</v>
      </c>
      <c r="R240" s="69"/>
      <c r="S240" s="86">
        <f>IF(Dane_kredytowe!F$19=B240,O239+V239,_xlfn.XLOOKUP(B240,Dane_kredytowe!M$9:M$18,Dane_kredytowe!N$9:N$18,0))</f>
        <v>0</v>
      </c>
      <c r="T240" s="71">
        <f t="shared" si="219"/>
        <v>-366.52100215861651</v>
      </c>
      <c r="U240" s="72">
        <f>IF(Q240="tak",T240,IF(P240-SUM(AB$5:AB240)+1&gt;0,IF(Dane_kredytowe!F$9&lt;B240,IF(SUM(AB$5:AB240)-Dane_kredytowe!F$16+1&gt;0,PMT(M240/12,P240+1-SUM(AB$5:AB240),O240),T240),0),0))</f>
        <v>-1176.7926551197152</v>
      </c>
      <c r="V240" s="72">
        <f t="shared" si="241"/>
        <v>-810.27165296109865</v>
      </c>
      <c r="W240" s="19" t="str">
        <f t="shared" si="242"/>
        <v xml:space="preserve"> </v>
      </c>
      <c r="X240" s="19">
        <f t="shared" si="266"/>
        <v>0</v>
      </c>
      <c r="Y240" s="73">
        <f t="shared" si="220"/>
        <v>-116.22925873006274</v>
      </c>
      <c r="Z240" s="19">
        <f>IF(P240-SUM(AB$5:AB240)+1&gt;0,IF(Dane_kredytowe!F$9&lt;B240,IF(SUM(AB$5:AB240)-Dane_kredytowe!F$16+1&gt;0,PMT(M240/12,P240+1-SUM(AB$5:AB240),N240),Y240),0),0)</f>
        <v>-373.17844592260116</v>
      </c>
      <c r="AA240" s="19">
        <f>Z240-Y240</f>
        <v>-256.94918719253843</v>
      </c>
      <c r="AB240" s="20">
        <f>IF(AND(Dane_kredytowe!F$9&lt;B240,SUM(AB$5:AB239)&lt;P239),1," ")</f>
        <v>1</v>
      </c>
      <c r="AD240" s="75">
        <f>IF(OR(B240&lt;Dane_kredytowe!F$15,Dane_kredytowe!F$15=""),-F240+S240,0)</f>
        <v>0</v>
      </c>
      <c r="AE240" s="75">
        <f t="shared" si="221"/>
        <v>373.17844592260116</v>
      </c>
      <c r="AG240" s="22">
        <f>Dane_kredytowe!F$17-SUM(AI$5:AI239)+SUM(W$42:W240)-SUM(X$42:X240)</f>
        <v>53117.120000000024</v>
      </c>
      <c r="AH240" s="22">
        <f t="shared" si="222"/>
        <v>98.71</v>
      </c>
      <c r="AI240" s="22">
        <f t="shared" si="223"/>
        <v>264.26</v>
      </c>
      <c r="AJ240" s="22">
        <f>AI240+AH240</f>
        <v>362.96999999999997</v>
      </c>
      <c r="AK240" s="22">
        <f t="shared" si="224"/>
        <v>1587.59</v>
      </c>
      <c r="AL240" s="22">
        <f>Dane_kredytowe!F$8-SUM(AN$5:AN239)+SUM(R$42:R239)-SUM(S$42:S240)</f>
        <v>167500.33999999988</v>
      </c>
      <c r="AM240" s="22">
        <f t="shared" si="225"/>
        <v>311.27</v>
      </c>
      <c r="AN240" s="22">
        <f t="shared" si="226"/>
        <v>833.34</v>
      </c>
      <c r="AO240" s="22">
        <f>AN240+AM240</f>
        <v>1144.6100000000001</v>
      </c>
      <c r="AP240" s="22">
        <f>AK240-AO240</f>
        <v>442.97999999999979</v>
      </c>
      <c r="AR240" s="87">
        <f t="shared" si="227"/>
        <v>44409</v>
      </c>
      <c r="AS240" s="23">
        <f>AS$5+SUM(AV$5:AV239)-SUM(X$5:X240)+SUM(W$5:W240)</f>
        <v>91420.706661593533</v>
      </c>
      <c r="AT240" s="22">
        <f t="shared" si="228"/>
        <v>-169.89014654612799</v>
      </c>
      <c r="AU240" s="22">
        <f>IF(AB240=1,IF(Q240="tak",AT240,PMT(M240/12,P240+1-SUM(AB$5:AB240),AS240)),0)</f>
        <v>-545.46799625461904</v>
      </c>
      <c r="AV240" s="22">
        <f>AU240-AT240</f>
        <v>-375.57784970849104</v>
      </c>
      <c r="AW240" s="22">
        <f t="shared" si="229"/>
        <v>-2316.3298460952396</v>
      </c>
      <c r="AY240" s="23">
        <f>AY$5+SUM(BA$5:BA239)+SUM(W$5:W239)-SUM(X$5:X239)</f>
        <v>77639.341437842057</v>
      </c>
      <c r="AZ240" s="23">
        <f t="shared" si="230"/>
        <v>-169.89014654612799</v>
      </c>
      <c r="BA240" s="23">
        <f t="shared" si="231"/>
        <v>-386.27</v>
      </c>
      <c r="BB240" s="23">
        <f>BA240+AZ240</f>
        <v>-556.16014654612798</v>
      </c>
      <c r="BC240" s="23">
        <f t="shared" si="232"/>
        <v>-2361.7340623081327</v>
      </c>
      <c r="BE240" s="88">
        <f t="shared" si="233"/>
        <v>2.0999999999999999E-3</v>
      </c>
      <c r="BF240" s="89">
        <f>BE240+Dane_kredytowe!F$12</f>
        <v>3.2099999999999997E-2</v>
      </c>
      <c r="BG240" s="23">
        <f>BG$5+SUM(BH$5:BH239)+SUM(R$5:R239)-SUM(S$5:S239)</f>
        <v>223387.32229228498</v>
      </c>
      <c r="BH240" s="22">
        <f>IF(BJ240&lt;0,BJ240-BI240,0)</f>
        <v>-840.69608814561673</v>
      </c>
      <c r="BI240" s="22">
        <f>IF(BJ240&lt;0,-BG240*BF240/12,0)</f>
        <v>-597.56108713186234</v>
      </c>
      <c r="BJ240" s="22">
        <f>IF(U240&lt;0,PMT(BF240/12,Dane_kredytowe!F$13-SUM(AB$5:AB240)+1,BG240),0)</f>
        <v>-1438.2571752774791</v>
      </c>
      <c r="BL240" s="23">
        <f>BL$5+SUM(BN$5:BN239)+SUM(R$5:R239)-SUM(S$5:S239)</f>
        <v>167500.00000000029</v>
      </c>
      <c r="BM240" s="23">
        <f t="shared" si="194"/>
        <v>-448.06250000000074</v>
      </c>
      <c r="BN240" s="23">
        <f t="shared" si="234"/>
        <v>-833.33333333333474</v>
      </c>
      <c r="BO240" s="23">
        <f>BN240+BM240</f>
        <v>-1281.3958333333355</v>
      </c>
      <c r="BQ240" s="89">
        <f t="shared" si="235"/>
        <v>1.8800000000000001E-2</v>
      </c>
      <c r="BR240" s="23">
        <f>BR$5+SUM(BS$5:BS239)+SUM(R$5:R239)-SUM(S$5:S239)+SUM(BV$5:BV239)</f>
        <v>252175.07033783227</v>
      </c>
      <c r="BS240" s="22">
        <f t="shared" si="249"/>
        <v>-1068.3899579695644</v>
      </c>
      <c r="BT240" s="22">
        <f t="shared" si="250"/>
        <v>-395.07427686260388</v>
      </c>
      <c r="BU240" s="22">
        <f>IF(U240&lt;0,PMT(BQ240/12,Dane_kredytowe!F$13-SUM(AB$5:AB240)+1,BR240),0)</f>
        <v>-1463.4642348321684</v>
      </c>
      <c r="BV240" s="22">
        <f t="shared" si="243"/>
        <v>-168.77910389646718</v>
      </c>
      <c r="BX240" s="23">
        <f>BX$5+SUM(BZ$5:BZ239)+SUM(R$5:R239)-SUM(S$5:S239)+SUM(CB$5,CB239)</f>
        <v>166909.67164191831</v>
      </c>
      <c r="BY240" s="22">
        <f t="shared" si="236"/>
        <v>-261.49181890567201</v>
      </c>
      <c r="BZ240" s="22">
        <f t="shared" si="237"/>
        <v>-830.39637632795177</v>
      </c>
      <c r="CA240" s="22">
        <f t="shared" si="251"/>
        <v>-1091.8881952336237</v>
      </c>
      <c r="CB240" s="22">
        <f t="shared" si="252"/>
        <v>-540.35514349501182</v>
      </c>
      <c r="CD240" s="22">
        <f>CD$5+SUM(CE$5:CE239)+SUM(R$5:R239)-SUM(S$5:S239)-SUM(CF$5:CF239)</f>
        <v>218450.08625641087</v>
      </c>
      <c r="CE240" s="22">
        <f t="shared" si="244"/>
        <v>261.49181890567201</v>
      </c>
      <c r="CF240" s="22">
        <f t="shared" si="238"/>
        <v>1632.2433387286355</v>
      </c>
      <c r="CG240" s="22">
        <f t="shared" si="245"/>
        <v>1370.7515198229635</v>
      </c>
      <c r="CI240" s="89">
        <f t="shared" si="239"/>
        <v>0.2838</v>
      </c>
      <c r="CJ240" s="22">
        <f t="shared" si="240"/>
        <v>-463.23</v>
      </c>
      <c r="CK240" s="15">
        <f t="shared" si="246"/>
        <v>0</v>
      </c>
      <c r="CM240" s="22">
        <f t="shared" si="247"/>
        <v>-229837.00151913453</v>
      </c>
      <c r="CN240" s="15">
        <f t="shared" si="253"/>
        <v>-40.221475265848539</v>
      </c>
    </row>
    <row r="241" spans="1:92">
      <c r="A241" s="25"/>
      <c r="B241" s="80">
        <v>44440</v>
      </c>
      <c r="C241" s="81">
        <f t="shared" ref="C241" si="317">VLOOKUP(B241,Kursy,C$2)</f>
        <v>4.2042999999999999</v>
      </c>
      <c r="D241" s="82">
        <f t="shared" si="248"/>
        <v>4.3304289999999996</v>
      </c>
      <c r="E241" s="73">
        <f>Z241</f>
        <v>-373.1784459226011</v>
      </c>
      <c r="F241" s="19">
        <f>E241*D241</f>
        <v>-1616.0227643981634</v>
      </c>
      <c r="G241" s="19">
        <f>U241</f>
        <v>-1176.7926551197152</v>
      </c>
      <c r="H241" s="19">
        <f>G241-F241</f>
        <v>439.23010927844825</v>
      </c>
      <c r="I241" s="62"/>
      <c r="K241" s="15">
        <f>IF(B241&lt;=Dane_kredytowe!F$9,0,K240+1)</f>
        <v>161</v>
      </c>
      <c r="L241" s="83">
        <f t="shared" ref="L241" si="318">VLOOKUP(B241,Oproc,C$2)</f>
        <v>-7.7000000000000002E-3</v>
      </c>
      <c r="M241" s="84">
        <f>L241+Dane_kredytowe!F$12</f>
        <v>2.23E-2</v>
      </c>
      <c r="N241" s="79">
        <f>MAX(Dane_kredytowe!F$17+SUM(AA$5:AA240)-SUM(X$5:X241)+SUM(W$5:W241),0)</f>
        <v>62287.943402975747</v>
      </c>
      <c r="O241" s="85">
        <f>MAX(Dane_kredytowe!F$8+SUM(V$5:V240)-SUM(S$5:S241)+SUM(R$5:R240),0)</f>
        <v>196420.76089876081</v>
      </c>
      <c r="P241" s="67">
        <f t="shared" si="316"/>
        <v>360</v>
      </c>
      <c r="Q241" s="127" t="str">
        <f>IF(AND(K241&gt;0,K241&lt;=Dane_kredytowe!F$16),"tak","nie")</f>
        <v>nie</v>
      </c>
      <c r="R241" s="69"/>
      <c r="S241" s="86">
        <f>IF(Dane_kredytowe!F$19=B241,O240+V240,_xlfn.XLOOKUP(B241,Dane_kredytowe!M$9:M$18,Dane_kredytowe!N$9:N$18,0))</f>
        <v>0</v>
      </c>
      <c r="T241" s="71">
        <f t="shared" si="219"/>
        <v>-365.01524733686387</v>
      </c>
      <c r="U241" s="72">
        <f>IF(Q241="tak",T241,IF(P241-SUM(AB$5:AB241)+1&gt;0,IF(Dane_kredytowe!F$9&lt;B241,IF(SUM(AB$5:AB241)-Dane_kredytowe!F$16+1&gt;0,PMT(M241/12,P241+1-SUM(AB$5:AB241),O241),T241),0),0))</f>
        <v>-1176.7926551197152</v>
      </c>
      <c r="V241" s="72">
        <f t="shared" si="241"/>
        <v>-811.77740778285124</v>
      </c>
      <c r="W241" s="19" t="str">
        <f t="shared" si="242"/>
        <v xml:space="preserve"> </v>
      </c>
      <c r="X241" s="19">
        <f t="shared" si="266"/>
        <v>0</v>
      </c>
      <c r="Y241" s="73">
        <f t="shared" si="220"/>
        <v>-115.75176149052993</v>
      </c>
      <c r="Z241" s="19">
        <f>IF(P241-SUM(AB$5:AB241)+1&gt;0,IF(Dane_kredytowe!F$9&lt;B241,IF(SUM(AB$5:AB241)-Dane_kredytowe!F$16+1&gt;0,PMT(M241/12,P241+1-SUM(AB$5:AB241),N241),Y241),0),0)</f>
        <v>-373.1784459226011</v>
      </c>
      <c r="AA241" s="19">
        <f>Z241-Y241</f>
        <v>-257.42668443207117</v>
      </c>
      <c r="AB241" s="20">
        <f>IF(AND(Dane_kredytowe!F$9&lt;B241,SUM(AB$5:AB240)&lt;P240),1," ")</f>
        <v>1</v>
      </c>
      <c r="AD241" s="75">
        <f>IF(OR(B241&lt;Dane_kredytowe!F$15,Dane_kredytowe!F$15=""),-F241+S241,0)</f>
        <v>0</v>
      </c>
      <c r="AE241" s="75">
        <f t="shared" si="221"/>
        <v>373.1784459226011</v>
      </c>
      <c r="AG241" s="22">
        <f>Dane_kredytowe!F$17-SUM(AI$5:AI240)+SUM(W$42:W241)-SUM(X$42:X241)</f>
        <v>52852.860000000022</v>
      </c>
      <c r="AH241" s="22">
        <f t="shared" si="222"/>
        <v>98.22</v>
      </c>
      <c r="AI241" s="22">
        <f t="shared" si="223"/>
        <v>264.26</v>
      </c>
      <c r="AJ241" s="22">
        <f>AI241+AH241</f>
        <v>362.48</v>
      </c>
      <c r="AK241" s="22">
        <f t="shared" si="224"/>
        <v>1569.69</v>
      </c>
      <c r="AL241" s="22">
        <f>Dane_kredytowe!F$8-SUM(AN$5:AN240)+SUM(R$42:R240)-SUM(S$42:S241)</f>
        <v>166666.99999999988</v>
      </c>
      <c r="AM241" s="22">
        <f t="shared" si="225"/>
        <v>309.72000000000003</v>
      </c>
      <c r="AN241" s="22">
        <f t="shared" si="226"/>
        <v>833.33</v>
      </c>
      <c r="AO241" s="22">
        <f>AN241+AM241</f>
        <v>1143.0500000000002</v>
      </c>
      <c r="AP241" s="22">
        <f>AK241-AO241</f>
        <v>426.63999999999987</v>
      </c>
      <c r="AR241" s="87">
        <f t="shared" si="227"/>
        <v>44440</v>
      </c>
      <c r="AS241" s="23">
        <f>AS$5+SUM(AV$5:AV240)-SUM(X$5:X241)+SUM(W$5:W241)</f>
        <v>91045.12881188505</v>
      </c>
      <c r="AT241" s="22">
        <f t="shared" si="228"/>
        <v>-169.19219770875307</v>
      </c>
      <c r="AU241" s="22">
        <f>IF(AB241=1,IF(Q241="tak",AT241,PMT(M241/12,P241+1-SUM(AB$5:AB241),AS241)),0)</f>
        <v>-545.46799625461904</v>
      </c>
      <c r="AV241" s="22">
        <f>AU241-AT241</f>
        <v>-376.275798545866</v>
      </c>
      <c r="AW241" s="22">
        <f t="shared" si="229"/>
        <v>-2293.311096653295</v>
      </c>
      <c r="AY241" s="23">
        <f>AY$5+SUM(BA$5:BA240)+SUM(W$5:W240)-SUM(X$5:X240)</f>
        <v>77253.071437842067</v>
      </c>
      <c r="AZ241" s="23">
        <f t="shared" si="230"/>
        <v>-169.19219770875307</v>
      </c>
      <c r="BA241" s="23">
        <f t="shared" si="231"/>
        <v>-386.27</v>
      </c>
      <c r="BB241" s="23">
        <f>BA241+AZ241</f>
        <v>-555.46219770875302</v>
      </c>
      <c r="BC241" s="23">
        <f t="shared" si="232"/>
        <v>-2335.3297178269104</v>
      </c>
      <c r="BE241" s="88">
        <f t="shared" si="233"/>
        <v>2.3999999999999998E-3</v>
      </c>
      <c r="BF241" s="89">
        <f>BE241+Dane_kredytowe!F$12</f>
        <v>3.2399999999999998E-2</v>
      </c>
      <c r="BG241" s="23">
        <f>BG$5+SUM(BH$5:BH240)+SUM(R$5:R240)-SUM(S$5:S240)</f>
        <v>222546.62620413938</v>
      </c>
      <c r="BH241" s="22">
        <f>IF(BJ241&lt;0,BJ241-BI241,0)</f>
        <v>-840.66969643203652</v>
      </c>
      <c r="BI241" s="22">
        <f>IF(BJ241&lt;0,-BG241*BF241/12,0)</f>
        <v>-600.87589075117626</v>
      </c>
      <c r="BJ241" s="22">
        <f>IF(U241&lt;0,PMT(BF241/12,Dane_kredytowe!F$13-SUM(AB$5:AB241)+1,BG241),0)</f>
        <v>-1441.5455871832128</v>
      </c>
      <c r="BL241" s="23">
        <f>BL$5+SUM(BN$5:BN240)+SUM(R$5:R240)-SUM(S$5:S240)</f>
        <v>166666.66666666695</v>
      </c>
      <c r="BM241" s="23">
        <f t="shared" si="194"/>
        <v>-450.00000000000074</v>
      </c>
      <c r="BN241" s="23">
        <f t="shared" si="234"/>
        <v>-833.33333333333474</v>
      </c>
      <c r="BO241" s="23">
        <f>BN241+BM241</f>
        <v>-1283.3333333333355</v>
      </c>
      <c r="BQ241" s="89">
        <f t="shared" si="235"/>
        <v>1.9099999999999999E-2</v>
      </c>
      <c r="BR241" s="23">
        <f>BR$5+SUM(BS$5:BS240)+SUM(R$5:R240)-SUM(S$5:S240)+SUM(BV$5:BV240)</f>
        <v>250937.9012759662</v>
      </c>
      <c r="BS241" s="22">
        <f t="shared" ref="BS241" si="319">IF(BU241&lt;0,BU241-BT241,0)</f>
        <v>-1066.5522325206443</v>
      </c>
      <c r="BT241" s="22">
        <f t="shared" ref="BT241" si="320">IF(BU241&lt;0,-BR241*BQ241/12,0)</f>
        <v>-399.4094928642462</v>
      </c>
      <c r="BU241" s="22">
        <f>IF(U241&lt;0,PMT(BQ241/12,Dane_kredytowe!F$13-SUM(AB$5:AB241)+1,BR241),0)</f>
        <v>-1465.9617253848905</v>
      </c>
      <c r="BV241" s="22">
        <f t="shared" si="243"/>
        <v>-150.06103901327288</v>
      </c>
      <c r="BX241" s="23">
        <f>BX$5+SUM(BZ$5:BZ240)+SUM(R$5:R240)-SUM(S$5:S240)+SUM(CB$5,CB240)</f>
        <v>166061.13924586808</v>
      </c>
      <c r="BY241" s="22">
        <f t="shared" si="236"/>
        <v>-264.31397996634001</v>
      </c>
      <c r="BZ241" s="22">
        <f t="shared" si="237"/>
        <v>-830.30569622934036</v>
      </c>
      <c r="CA241" s="22">
        <f t="shared" ref="CA241" si="321">BZ241+BY241</f>
        <v>-1094.6196761956803</v>
      </c>
      <c r="CB241" s="22">
        <f t="shared" si="252"/>
        <v>-521.4030882024831</v>
      </c>
      <c r="CD241" s="22">
        <f>CD$5+SUM(CE$5:CE240)+SUM(R$5:R240)-SUM(S$5:S240)-SUM(CF$5:CF240)</f>
        <v>217079.33473658792</v>
      </c>
      <c r="CE241" s="22">
        <f t="shared" si="244"/>
        <v>264.31397996634001</v>
      </c>
      <c r="CF241" s="22">
        <f t="shared" si="238"/>
        <v>1616.0227643981634</v>
      </c>
      <c r="CG241" s="22">
        <f t="shared" si="245"/>
        <v>1351.7087844318235</v>
      </c>
      <c r="CI241" s="89">
        <f t="shared" si="239"/>
        <v>0.27479999999999999</v>
      </c>
      <c r="CJ241" s="22">
        <f t="shared" si="240"/>
        <v>-444.08</v>
      </c>
      <c r="CK241" s="15">
        <f t="shared" si="246"/>
        <v>0</v>
      </c>
      <c r="CM241" s="22">
        <f t="shared" si="247"/>
        <v>-231453.02428353269</v>
      </c>
      <c r="CN241" s="15">
        <f t="shared" si="253"/>
        <v>-46.29060485670653</v>
      </c>
    </row>
    <row r="242" spans="1:92">
      <c r="A242" s="25"/>
      <c r="B242" s="80">
        <v>44470</v>
      </c>
      <c r="C242" s="81">
        <f t="shared" ref="C242" si="322">VLOOKUP(B242,Kursy,C$2)</f>
        <v>4.2895000000000003</v>
      </c>
      <c r="D242" s="82">
        <f t="shared" si="248"/>
        <v>4.4181850000000003</v>
      </c>
      <c r="E242" s="73">
        <f t="shared" ref="E242" si="323">Z242</f>
        <v>-373.17844592260116</v>
      </c>
      <c r="F242" s="19">
        <f t="shared" ref="F242" si="324">E242*D242</f>
        <v>-1648.7714120985477</v>
      </c>
      <c r="G242" s="19">
        <f t="shared" ref="G242" si="325">U242</f>
        <v>-1176.7926551197154</v>
      </c>
      <c r="H242" s="19">
        <f t="shared" ref="H242" si="326">G242-F242</f>
        <v>471.97875697883228</v>
      </c>
      <c r="I242" s="62"/>
      <c r="K242" s="15">
        <f>IF(B242&lt;=Dane_kredytowe!F$9,0,K241+1)</f>
        <v>162</v>
      </c>
      <c r="L242" s="83">
        <f t="shared" ref="L242" si="327">VLOOKUP(B242,Oproc,C$2)</f>
        <v>-7.7000000000000002E-3</v>
      </c>
      <c r="M242" s="84">
        <f>L242+Dane_kredytowe!F$12</f>
        <v>2.23E-2</v>
      </c>
      <c r="N242" s="79">
        <f>MAX(Dane_kredytowe!F$17+SUM(AA$5:AA241)-SUM(X$5:X242)+SUM(W$5:W242),0)</f>
        <v>62030.516718543673</v>
      </c>
      <c r="O242" s="85">
        <f>MAX(Dane_kredytowe!F$8+SUM(V$5:V241)-SUM(S$5:S242)+SUM(R$5:R241),0)</f>
        <v>195608.98349097796</v>
      </c>
      <c r="P242" s="67">
        <f t="shared" si="316"/>
        <v>360</v>
      </c>
      <c r="Q242" s="127" t="str">
        <f>IF(AND(K242&gt;0,K242&lt;=Dane_kredytowe!F$16),"tak","nie")</f>
        <v>nie</v>
      </c>
      <c r="R242" s="69"/>
      <c r="S242" s="86">
        <f>IF(Dane_kredytowe!F$19=B242,O241+V241,_xlfn.XLOOKUP(B242,Dane_kredytowe!M$9:M$18,Dane_kredytowe!N$9:N$18,0))</f>
        <v>0</v>
      </c>
      <c r="T242" s="71">
        <f t="shared" si="219"/>
        <v>-363.50669432073408</v>
      </c>
      <c r="U242" s="72">
        <f>IF(Q242="tak",T242,IF(P242-SUM(AB$5:AB242)+1&gt;0,IF(Dane_kredytowe!F$9&lt;B242,IF(SUM(AB$5:AB242)-Dane_kredytowe!F$16+1&gt;0,PMT(M242/12,P242+1-SUM(AB$5:AB242),O242),T242),0),0))</f>
        <v>-1176.7926551197154</v>
      </c>
      <c r="V242" s="72">
        <f t="shared" si="241"/>
        <v>-813.28596079898125</v>
      </c>
      <c r="W242" s="19" t="str">
        <f t="shared" si="242"/>
        <v xml:space="preserve"> </v>
      </c>
      <c r="X242" s="19">
        <f t="shared" si="266"/>
        <v>0</v>
      </c>
      <c r="Y242" s="73">
        <f t="shared" si="220"/>
        <v>-115.27337690196032</v>
      </c>
      <c r="Z242" s="19">
        <f>IF(P242-SUM(AB$5:AB242)+1&gt;0,IF(Dane_kredytowe!F$9&lt;B242,IF(SUM(AB$5:AB242)-Dane_kredytowe!F$16+1&gt;0,PMT(M242/12,P242+1-SUM(AB$5:AB242),N242),Y242),0),0)</f>
        <v>-373.17844592260116</v>
      </c>
      <c r="AA242" s="19">
        <f t="shared" ref="AA242" si="328">Z242-Y242</f>
        <v>-257.90506902064084</v>
      </c>
      <c r="AB242" s="20">
        <f>IF(AND(Dane_kredytowe!F$9&lt;B242,SUM(AB$5:AB241)&lt;P241),1," ")</f>
        <v>1</v>
      </c>
      <c r="AD242" s="75">
        <f>IF(OR(B242&lt;Dane_kredytowe!F$15,Dane_kredytowe!F$15=""),-F242+S242,0)</f>
        <v>0</v>
      </c>
      <c r="AE242" s="75">
        <f t="shared" si="221"/>
        <v>373.17844592260116</v>
      </c>
      <c r="AG242" s="22">
        <f>Dane_kredytowe!F$17-SUM(AI$5:AI241)+SUM(W$42:W242)-SUM(X$42:X242)</f>
        <v>52588.60000000002</v>
      </c>
      <c r="AH242" s="22">
        <f t="shared" si="222"/>
        <v>97.73</v>
      </c>
      <c r="AI242" s="22">
        <f t="shared" si="223"/>
        <v>264.26</v>
      </c>
      <c r="AJ242" s="22">
        <f t="shared" ref="AJ242" si="329">AI242+AH242</f>
        <v>361.99</v>
      </c>
      <c r="AK242" s="22">
        <f t="shared" si="224"/>
        <v>1599.34</v>
      </c>
      <c r="AL242" s="22">
        <f>Dane_kredytowe!F$8-SUM(AN$5:AN241)+SUM(R$42:R241)-SUM(S$42:S242)</f>
        <v>165833.6699999999</v>
      </c>
      <c r="AM242" s="22">
        <f t="shared" si="225"/>
        <v>308.17</v>
      </c>
      <c r="AN242" s="22">
        <f t="shared" si="226"/>
        <v>833.34</v>
      </c>
      <c r="AO242" s="22">
        <f t="shared" ref="AO242" si="330">AN242+AM242</f>
        <v>1141.51</v>
      </c>
      <c r="AP242" s="22">
        <f t="shared" ref="AP242" si="331">AK242-AO242</f>
        <v>457.82999999999993</v>
      </c>
      <c r="AR242" s="87">
        <f t="shared" si="227"/>
        <v>44470</v>
      </c>
      <c r="AS242" s="23">
        <f>AS$5+SUM(AV$5:AV241)-SUM(X$5:X242)+SUM(W$5:W242)</f>
        <v>90668.853013339176</v>
      </c>
      <c r="AT242" s="22">
        <f t="shared" si="228"/>
        <v>-168.49295184978862</v>
      </c>
      <c r="AU242" s="22">
        <f>IF(AB242=1,IF(Q242="tak",AT242,PMT(M242/12,P242+1-SUM(AB$5:AB242),AS242)),0)</f>
        <v>-545.46799625461915</v>
      </c>
      <c r="AV242" s="22">
        <f t="shared" ref="AV242" si="332">AU242-AT242</f>
        <v>-376.97504440483056</v>
      </c>
      <c r="AW242" s="22">
        <f t="shared" si="229"/>
        <v>-2339.7849699341891</v>
      </c>
      <c r="AY242" s="23">
        <f>AY$5+SUM(BA$5:BA241)+SUM(W$5:W241)-SUM(X$5:X241)</f>
        <v>76866.801437842063</v>
      </c>
      <c r="AZ242" s="23">
        <f t="shared" si="230"/>
        <v>-168.49295184978862</v>
      </c>
      <c r="BA242" s="23">
        <f t="shared" si="231"/>
        <v>-386.27</v>
      </c>
      <c r="BB242" s="23">
        <f t="shared" ref="BB242" si="333">BA242+AZ242</f>
        <v>-554.76295184978858</v>
      </c>
      <c r="BC242" s="23">
        <f t="shared" si="232"/>
        <v>-2379.6556819596681</v>
      </c>
      <c r="BE242" s="88">
        <f t="shared" si="233"/>
        <v>6.1000000000000004E-3</v>
      </c>
      <c r="BF242" s="89">
        <f>BE242+Dane_kredytowe!F$12</f>
        <v>3.61E-2</v>
      </c>
      <c r="BG242" s="23">
        <f>BG$5+SUM(BH$5:BH241)+SUM(R$5:R241)-SUM(S$5:S241)</f>
        <v>221705.95650770733</v>
      </c>
      <c r="BH242" s="22">
        <f t="shared" ref="BH242" si="334">IF(BJ242&lt;0,BJ242-BI242,0)</f>
        <v>-815.32009114133575</v>
      </c>
      <c r="BI242" s="22">
        <f t="shared" ref="BI242" si="335">IF(BJ242&lt;0,-BG242*BF242/12,0)</f>
        <v>-666.96541916068622</v>
      </c>
      <c r="BJ242" s="22">
        <f>IF(U242&lt;0,PMT(BF242/12,Dane_kredytowe!F$13-SUM(AB$5:AB242)+1,BG242),0)</f>
        <v>-1482.285510302022</v>
      </c>
      <c r="BL242" s="23">
        <f>BL$5+SUM(BN$5:BN241)+SUM(R$5:R241)-SUM(S$5:S241)</f>
        <v>165833.3333333336</v>
      </c>
      <c r="BM242" s="23">
        <f t="shared" ref="BM242" si="336">IF(AB242=1,-BF242*BL242/12,0)</f>
        <v>-498.88194444444525</v>
      </c>
      <c r="BN242" s="23">
        <f t="shared" si="234"/>
        <v>-833.33333333333474</v>
      </c>
      <c r="BO242" s="23">
        <f t="shared" ref="BO242" si="337">BN242+BM242</f>
        <v>-1332.2152777777801</v>
      </c>
      <c r="BQ242" s="89">
        <f t="shared" si="235"/>
        <v>2.2800000000000001E-2</v>
      </c>
      <c r="BR242" s="23">
        <f>BR$5+SUM(BS$5:BS241)+SUM(R$5:R241)-SUM(S$5:S241)+SUM(BV$5:BV241)</f>
        <v>249721.28800443231</v>
      </c>
      <c r="BS242" s="22">
        <f t="shared" ref="BS242" si="338">IF(BU242&lt;0,BU242-BT242,0)</f>
        <v>-1033.737570282055</v>
      </c>
      <c r="BT242" s="22">
        <f t="shared" ref="BT242" si="339">IF(BU242&lt;0,-BR242*BQ242/12,0)</f>
        <v>-474.47044720842138</v>
      </c>
      <c r="BU242" s="22">
        <f>IF(U242&lt;0,PMT(BQ242/12,Dane_kredytowe!F$13-SUM(AB$5:AB242)+1,BR242),0)</f>
        <v>-1508.2080174904763</v>
      </c>
      <c r="BV242" s="22">
        <f t="shared" si="243"/>
        <v>-140.56339460807135</v>
      </c>
      <c r="BX242" s="23">
        <f>BX$5+SUM(BZ$5:BZ241)+SUM(R$5:R241)-SUM(S$5:S241)+SUM(CB$5,CB241)</f>
        <v>165249.78560493127</v>
      </c>
      <c r="BY242" s="22">
        <f t="shared" si="236"/>
        <v>-313.97459264936941</v>
      </c>
      <c r="BZ242" s="22">
        <f t="shared" si="237"/>
        <v>-830.40093268809687</v>
      </c>
      <c r="CA242" s="22">
        <f t="shared" ref="CA242" si="340">BZ242+BY242</f>
        <v>-1144.3755253374663</v>
      </c>
      <c r="CB242" s="22">
        <f t="shared" ref="CB242" si="341">$F242-CA242</f>
        <v>-504.39588676108133</v>
      </c>
      <c r="CD242" s="22">
        <f>CD$5+SUM(CE$5:CE241)+SUM(R$5:R241)-SUM(S$5:S241)-SUM(CF$5:CF241)</f>
        <v>215727.62595215609</v>
      </c>
      <c r="CE242" s="22">
        <f t="shared" si="244"/>
        <v>313.97459264936941</v>
      </c>
      <c r="CF242" s="22">
        <f t="shared" si="238"/>
        <v>1648.7714120985477</v>
      </c>
      <c r="CG242" s="22">
        <f t="shared" si="245"/>
        <v>1334.7968194491782</v>
      </c>
      <c r="CI242" s="89">
        <f t="shared" si="239"/>
        <v>0.26100000000000001</v>
      </c>
      <c r="CJ242" s="22">
        <f t="shared" si="240"/>
        <v>-430.33</v>
      </c>
      <c r="CK242" s="15">
        <f t="shared" si="246"/>
        <v>0</v>
      </c>
      <c r="CM242" s="22">
        <f t="shared" si="247"/>
        <v>-233101.79569563124</v>
      </c>
      <c r="CN242" s="15">
        <f t="shared" si="253"/>
        <v>-118.4934128119459</v>
      </c>
    </row>
    <row r="243" spans="1:92">
      <c r="A243" s="25"/>
      <c r="B243" s="80">
        <v>44501</v>
      </c>
      <c r="C243" s="81">
        <f t="shared" ref="C243" si="342">VLOOKUP(B243,Kursy,C$2)</f>
        <v>4.4221000000000004</v>
      </c>
      <c r="D243" s="82">
        <f t="shared" si="248"/>
        <v>4.5547630000000003</v>
      </c>
      <c r="E243" s="73">
        <f t="shared" ref="E243" si="343">Z243</f>
        <v>-373.17844592260116</v>
      </c>
      <c r="F243" s="19">
        <f t="shared" ref="F243" si="344">E243*D243</f>
        <v>-1699.7393778857647</v>
      </c>
      <c r="G243" s="19">
        <f t="shared" ref="G243" si="345">U243</f>
        <v>-1176.7926551197154</v>
      </c>
      <c r="H243" s="19">
        <f t="shared" ref="H243" si="346">G243-F243</f>
        <v>522.94672276604933</v>
      </c>
      <c r="I243" s="62"/>
      <c r="K243" s="15">
        <f>IF(B243&lt;=Dane_kredytowe!F$9,0,K242+1)</f>
        <v>163</v>
      </c>
      <c r="L243" s="83">
        <f t="shared" ref="L243" si="347">VLOOKUP(B243,Oproc,C$2)</f>
        <v>-7.7000000000000002E-3</v>
      </c>
      <c r="M243" s="84">
        <f>L243+Dane_kredytowe!F$12</f>
        <v>2.23E-2</v>
      </c>
      <c r="N243" s="79">
        <f>MAX(Dane_kredytowe!F$17+SUM(AA$5:AA242)-SUM(X$5:X243)+SUM(W$5:W243),0)</f>
        <v>61772.611649523031</v>
      </c>
      <c r="O243" s="85">
        <f>MAX(Dane_kredytowe!F$8+SUM(V$5:V242)-SUM(S$5:S243)+SUM(R$5:R242),0)</f>
        <v>194795.69753017896</v>
      </c>
      <c r="P243" s="67">
        <f t="shared" si="316"/>
        <v>360</v>
      </c>
      <c r="Q243" s="127" t="str">
        <f>IF(AND(K243&gt;0,K243&lt;=Dane_kredytowe!F$16),"tak","nie")</f>
        <v>nie</v>
      </c>
      <c r="R243" s="69"/>
      <c r="S243" s="86">
        <f>IF(Dane_kredytowe!F$19=B243,O242+V242,_xlfn.XLOOKUP(B243,Dane_kredytowe!M$9:M$18,Dane_kredytowe!N$9:N$18,0))</f>
        <v>0</v>
      </c>
      <c r="T243" s="71">
        <f t="shared" si="219"/>
        <v>-361.99533791024925</v>
      </c>
      <c r="U243" s="72">
        <f>IF(Q243="tak",T243,IF(P243-SUM(AB$5:AB243)+1&gt;0,IF(Dane_kredytowe!F$9&lt;B243,IF(SUM(AB$5:AB243)-Dane_kredytowe!F$16+1&gt;0,PMT(M243/12,P243+1-SUM(AB$5:AB243),O243),T243),0),0))</f>
        <v>-1176.7926551197154</v>
      </c>
      <c r="V243" s="72">
        <f t="shared" si="241"/>
        <v>-814.7973172094662</v>
      </c>
      <c r="W243" s="19" t="str">
        <f t="shared" si="242"/>
        <v xml:space="preserve"> </v>
      </c>
      <c r="X243" s="19">
        <f t="shared" si="266"/>
        <v>0</v>
      </c>
      <c r="Y243" s="73">
        <f t="shared" si="220"/>
        <v>-114.79410331536364</v>
      </c>
      <c r="Z243" s="19">
        <f>IF(P243-SUM(AB$5:AB243)+1&gt;0,IF(Dane_kredytowe!F$9&lt;B243,IF(SUM(AB$5:AB243)-Dane_kredytowe!F$16+1&gt;0,PMT(M243/12,P243+1-SUM(AB$5:AB243),N243),Y243),0),0)</f>
        <v>-373.17844592260116</v>
      </c>
      <c r="AA243" s="19">
        <f t="shared" ref="AA243" si="348">Z243-Y243</f>
        <v>-258.3843426072375</v>
      </c>
      <c r="AB243" s="20">
        <f>IF(AND(Dane_kredytowe!F$9&lt;B243,SUM(AB$5:AB242)&lt;P242),1," ")</f>
        <v>1</v>
      </c>
      <c r="AD243" s="75">
        <f>IF(OR(B243&lt;Dane_kredytowe!F$15,Dane_kredytowe!F$15=""),-F243+S243,0)</f>
        <v>0</v>
      </c>
      <c r="AE243" s="75">
        <f t="shared" si="221"/>
        <v>373.17844592260116</v>
      </c>
      <c r="AG243" s="22">
        <f>Dane_kredytowe!F$17-SUM(AI$5:AI242)+SUM(W$42:W243)-SUM(X$42:X243)</f>
        <v>52324.340000000018</v>
      </c>
      <c r="AH243" s="22">
        <f t="shared" si="222"/>
        <v>97.24</v>
      </c>
      <c r="AI243" s="22">
        <f t="shared" si="223"/>
        <v>264.26</v>
      </c>
      <c r="AJ243" s="22">
        <f t="shared" ref="AJ243" si="349">AI243+AH243</f>
        <v>361.5</v>
      </c>
      <c r="AK243" s="22">
        <f t="shared" si="224"/>
        <v>1646.55</v>
      </c>
      <c r="AL243" s="22">
        <f>Dane_kredytowe!F$8-SUM(AN$5:AN242)+SUM(R$42:R242)-SUM(S$42:S243)</f>
        <v>165000.3299999999</v>
      </c>
      <c r="AM243" s="22">
        <f t="shared" si="225"/>
        <v>306.63</v>
      </c>
      <c r="AN243" s="22">
        <f t="shared" si="226"/>
        <v>833.33</v>
      </c>
      <c r="AO243" s="22">
        <f t="shared" ref="AO243" si="350">AN243+AM243</f>
        <v>1139.96</v>
      </c>
      <c r="AP243" s="22">
        <f t="shared" ref="AP243" si="351">AK243-AO243</f>
        <v>506.58999999999992</v>
      </c>
      <c r="AR243" s="87">
        <f t="shared" si="227"/>
        <v>44501</v>
      </c>
      <c r="AS243" s="23">
        <f>AS$5+SUM(AV$5:AV242)-SUM(X$5:X243)+SUM(W$5:W243)</f>
        <v>90291.877968934336</v>
      </c>
      <c r="AT243" s="22">
        <f t="shared" si="228"/>
        <v>-167.79240655893631</v>
      </c>
      <c r="AU243" s="22">
        <f>IF(AB243=1,IF(Q243="tak",AT243,PMT(M243/12,P243+1-SUM(AB$5:AB243),AS243)),0)</f>
        <v>-545.46799625461904</v>
      </c>
      <c r="AV243" s="22">
        <f t="shared" ref="AV243" si="352">AU243-AT243</f>
        <v>-377.67558969568273</v>
      </c>
      <c r="AW243" s="22">
        <f t="shared" si="229"/>
        <v>-2412.1140262375511</v>
      </c>
      <c r="AY243" s="23">
        <f>AY$5+SUM(BA$5:BA242)+SUM(W$5:W242)-SUM(X$5:X242)</f>
        <v>76480.531437842059</v>
      </c>
      <c r="AZ243" s="23">
        <f t="shared" si="230"/>
        <v>-167.79240655893631</v>
      </c>
      <c r="BA243" s="23">
        <f t="shared" si="231"/>
        <v>-386.27</v>
      </c>
      <c r="BB243" s="23">
        <f t="shared" ref="BB243" si="353">BA243+AZ243</f>
        <v>-554.06240655893635</v>
      </c>
      <c r="BC243" s="23">
        <f t="shared" si="232"/>
        <v>-2450.1193680442725</v>
      </c>
      <c r="BE243" s="88">
        <f t="shared" si="233"/>
        <v>1.5900000000000001E-2</v>
      </c>
      <c r="BF243" s="89">
        <f>BE243+Dane_kredytowe!F$12</f>
        <v>4.5899999999999996E-2</v>
      </c>
      <c r="BG243" s="23">
        <f>BG$5+SUM(BH$5:BH242)+SUM(R$5:R242)-SUM(S$5:S242)</f>
        <v>220890.63641656601</v>
      </c>
      <c r="BH243" s="22">
        <f t="shared" ref="BH243" si="354">IF(BJ243&lt;0,BJ243-BI243,0)</f>
        <v>-748.01057745837034</v>
      </c>
      <c r="BI243" s="22">
        <f t="shared" ref="BI243" si="355">IF(BJ243&lt;0,-BG243*BF243/12,0)</f>
        <v>-844.90668429336483</v>
      </c>
      <c r="BJ243" s="22">
        <f>IF(U243&lt;0,PMT(BF243/12,Dane_kredytowe!F$13-SUM(AB$5:AB243)+1,BG243),0)</f>
        <v>-1592.9172617517352</v>
      </c>
      <c r="BL243" s="23">
        <f>BL$5+SUM(BN$5:BN242)+SUM(R$5:R242)-SUM(S$5:S242)</f>
        <v>165000.00000000026</v>
      </c>
      <c r="BM243" s="23">
        <f t="shared" ref="BM243" si="356">IF(AB243=1,-BF243*BL243/12,0)</f>
        <v>-631.12500000000102</v>
      </c>
      <c r="BN243" s="23">
        <f t="shared" si="234"/>
        <v>-833.33333333333462</v>
      </c>
      <c r="BO243" s="23">
        <f t="shared" ref="BO243" si="357">BN243+BM243</f>
        <v>-1464.4583333333358</v>
      </c>
      <c r="BQ243" s="89">
        <f t="shared" si="235"/>
        <v>3.2600000000000004E-2</v>
      </c>
      <c r="BR243" s="23">
        <f>BR$5+SUM(BS$5:BS242)+SUM(R$5:R242)-SUM(S$5:S242)+SUM(BV$5:BV242)</f>
        <v>248546.98703954217</v>
      </c>
      <c r="BS243" s="22">
        <f t="shared" ref="BS243" si="358">IF(BU243&lt;0,BU243-BT243,0)</f>
        <v>-949.46378212364482</v>
      </c>
      <c r="BT243" s="22">
        <f t="shared" ref="BT243" si="359">IF(BU243&lt;0,-BR243*BQ243/12,0)</f>
        <v>-675.21931479075636</v>
      </c>
      <c r="BU243" s="22">
        <f>IF(U243&lt;0,PMT(BQ243/12,Dane_kredytowe!F$13-SUM(AB$5:AB243)+1,BR243),0)</f>
        <v>-1624.6830969144012</v>
      </c>
      <c r="BV243" s="22">
        <f t="shared" si="243"/>
        <v>-75.056280971363549</v>
      </c>
      <c r="BX243" s="23">
        <f>BX$5+SUM(BZ$5:BZ242)+SUM(R$5:R242)-SUM(S$5:S242)+SUM(CB$5,CB242)</f>
        <v>164436.3918736846</v>
      </c>
      <c r="BY243" s="22">
        <f t="shared" si="236"/>
        <v>-446.71886459017651</v>
      </c>
      <c r="BZ243" s="22">
        <f t="shared" si="237"/>
        <v>-830.48682764487171</v>
      </c>
      <c r="CA243" s="22">
        <f t="shared" ref="CA243" si="360">BZ243+BY243</f>
        <v>-1277.2056922350482</v>
      </c>
      <c r="CB243" s="22">
        <f t="shared" ref="CB243" si="361">$F243-CA243</f>
        <v>-422.53368565071651</v>
      </c>
      <c r="CD243" s="22">
        <f>CD$5+SUM(CE$5:CE242)+SUM(R$5:R242)-SUM(S$5:S242)-SUM(CF$5:CF242)</f>
        <v>214392.82913270692</v>
      </c>
      <c r="CE243" s="22">
        <f t="shared" si="244"/>
        <v>446.71886459017651</v>
      </c>
      <c r="CF243" s="22">
        <f t="shared" si="238"/>
        <v>1699.7393778857647</v>
      </c>
      <c r="CG243" s="22">
        <f t="shared" si="245"/>
        <v>1253.0205132955882</v>
      </c>
      <c r="CI243" s="89">
        <f t="shared" si="239"/>
        <v>0.2485</v>
      </c>
      <c r="CJ243" s="22">
        <f t="shared" si="240"/>
        <v>-422.39</v>
      </c>
      <c r="CK243" s="15">
        <f t="shared" si="246"/>
        <v>0</v>
      </c>
      <c r="CM243" s="22">
        <f t="shared" si="247"/>
        <v>-234801.53507351701</v>
      </c>
      <c r="CN243" s="15">
        <f t="shared" si="253"/>
        <v>-311.11203397241007</v>
      </c>
    </row>
    <row r="244" spans="1:92">
      <c r="A244" s="25"/>
      <c r="B244" s="80">
        <v>44531</v>
      </c>
      <c r="C244" s="81">
        <f t="shared" ref="C244" si="362">VLOOKUP(B244,Kursy,C$2)</f>
        <v>4.4353999999999996</v>
      </c>
      <c r="D244" s="82">
        <f t="shared" si="248"/>
        <v>4.5684619999999994</v>
      </c>
      <c r="E244" s="73">
        <f t="shared" ref="E244" si="363">Z244</f>
        <v>-373.17844592260116</v>
      </c>
      <c r="F244" s="19">
        <f t="shared" ref="F244" si="364">E244*D244</f>
        <v>-1704.8515494164581</v>
      </c>
      <c r="G244" s="19">
        <f t="shared" ref="G244" si="365">U244</f>
        <v>-1176.7926551197154</v>
      </c>
      <c r="H244" s="19">
        <f t="shared" ref="H244" si="366">G244-F244</f>
        <v>528.05889429674266</v>
      </c>
      <c r="I244" s="62"/>
      <c r="K244" s="15">
        <f>IF(B244&lt;=Dane_kredytowe!F$9,0,K243+1)</f>
        <v>164</v>
      </c>
      <c r="L244" s="83">
        <f t="shared" ref="L244" si="367">VLOOKUP(B244,Oproc,C$2)</f>
        <v>-7.7000000000000002E-3</v>
      </c>
      <c r="M244" s="84">
        <f>L244+Dane_kredytowe!F$12</f>
        <v>2.23E-2</v>
      </c>
      <c r="N244" s="79">
        <f>MAX(Dane_kredytowe!F$17+SUM(AA$5:AA243)-SUM(X$5:X244)+SUM(W$5:W244),0)</f>
        <v>61514.227306915796</v>
      </c>
      <c r="O244" s="85">
        <f>MAX(Dane_kredytowe!F$8+SUM(V$5:V243)-SUM(S$5:S244)+SUM(R$5:R243),0)</f>
        <v>193980.90021296951</v>
      </c>
      <c r="P244" s="67">
        <f t="shared" si="316"/>
        <v>360</v>
      </c>
      <c r="Q244" s="127" t="str">
        <f>IF(AND(K244&gt;0,K244&lt;=Dane_kredytowe!F$16),"tak","nie")</f>
        <v>nie</v>
      </c>
      <c r="R244" s="69"/>
      <c r="S244" s="86">
        <f>IF(Dane_kredytowe!F$19=B244,O243+V243,_xlfn.XLOOKUP(B244,Dane_kredytowe!M$9:M$18,Dane_kredytowe!N$9:N$18,0))</f>
        <v>0</v>
      </c>
      <c r="T244" s="71">
        <f t="shared" si="219"/>
        <v>-360.48117289576834</v>
      </c>
      <c r="U244" s="72">
        <f>IF(Q244="tak",T244,IF(P244-SUM(AB$5:AB244)+1&gt;0,IF(Dane_kredytowe!F$9&lt;B244,IF(SUM(AB$5:AB244)-Dane_kredytowe!F$16+1&gt;0,PMT(M244/12,P244+1-SUM(AB$5:AB244),O244),T244),0),0))</f>
        <v>-1176.7926551197154</v>
      </c>
      <c r="V244" s="72">
        <f t="shared" si="241"/>
        <v>-816.311482223947</v>
      </c>
      <c r="W244" s="19" t="str">
        <f t="shared" si="242"/>
        <v xml:space="preserve"> </v>
      </c>
      <c r="X244" s="19">
        <f t="shared" si="266"/>
        <v>0</v>
      </c>
      <c r="Y244" s="73">
        <f t="shared" si="220"/>
        <v>-114.31393907868518</v>
      </c>
      <c r="Z244" s="19">
        <f>IF(P244-SUM(AB$5:AB244)+1&gt;0,IF(Dane_kredytowe!F$9&lt;B244,IF(SUM(AB$5:AB244)-Dane_kredytowe!F$16+1&gt;0,PMT(M244/12,P244+1-SUM(AB$5:AB244),N244),Y244),0),0)</f>
        <v>-373.17844592260116</v>
      </c>
      <c r="AA244" s="19">
        <f t="shared" ref="AA244" si="368">Z244-Y244</f>
        <v>-258.86450684391599</v>
      </c>
      <c r="AB244" s="20">
        <f>IF(AND(Dane_kredytowe!F$9&lt;B244,SUM(AB$5:AB243)&lt;P243),1," ")</f>
        <v>1</v>
      </c>
      <c r="AD244" s="75">
        <f>IF(OR(B244&lt;Dane_kredytowe!F$15,Dane_kredytowe!F$15=""),-F244+S244,0)</f>
        <v>0</v>
      </c>
      <c r="AE244" s="75">
        <f t="shared" si="221"/>
        <v>373.17844592260116</v>
      </c>
      <c r="AG244" s="22">
        <f>Dane_kredytowe!F$17-SUM(AI$5:AI243)+SUM(W$42:W244)-SUM(X$42:X244)</f>
        <v>52060.080000000016</v>
      </c>
      <c r="AH244" s="22">
        <f t="shared" si="222"/>
        <v>96.74</v>
      </c>
      <c r="AI244" s="22">
        <f t="shared" si="223"/>
        <v>264.26</v>
      </c>
      <c r="AJ244" s="22">
        <f t="shared" ref="AJ244" si="369">AI244+AH244</f>
        <v>361</v>
      </c>
      <c r="AK244" s="22">
        <f t="shared" si="224"/>
        <v>1649.21</v>
      </c>
      <c r="AL244" s="22">
        <f>Dane_kredytowe!F$8-SUM(AN$5:AN243)+SUM(R$42:R243)-SUM(S$42:S244)</f>
        <v>164166.99999999991</v>
      </c>
      <c r="AM244" s="22">
        <f t="shared" si="225"/>
        <v>305.08</v>
      </c>
      <c r="AN244" s="22">
        <f t="shared" si="226"/>
        <v>833.34</v>
      </c>
      <c r="AO244" s="22">
        <f t="shared" ref="AO244" si="370">AN244+AM244</f>
        <v>1138.42</v>
      </c>
      <c r="AP244" s="22">
        <f t="shared" ref="AP244" si="371">AK244-AO244</f>
        <v>510.78999999999996</v>
      </c>
      <c r="AR244" s="87">
        <f t="shared" si="227"/>
        <v>44531</v>
      </c>
      <c r="AS244" s="23">
        <f>AS$5+SUM(AV$5:AV243)-SUM(X$5:X244)+SUM(W$5:W244)</f>
        <v>89914.202379238661</v>
      </c>
      <c r="AT244" s="22">
        <f t="shared" si="228"/>
        <v>-167.09055942141853</v>
      </c>
      <c r="AU244" s="22">
        <f>IF(AB244=1,IF(Q244="tak",AT244,PMT(M244/12,P244+1-SUM(AB$5:AB244),AS244)),0)</f>
        <v>-545.46799625461904</v>
      </c>
      <c r="AV244" s="22">
        <f t="shared" ref="AV244" si="372">AU244-AT244</f>
        <v>-378.37743683320048</v>
      </c>
      <c r="AW244" s="22">
        <f t="shared" si="229"/>
        <v>-2419.3687505877369</v>
      </c>
      <c r="AY244" s="23">
        <f>AY$5+SUM(BA$5:BA243)+SUM(W$5:W243)-SUM(X$5:X243)</f>
        <v>76094.261437842069</v>
      </c>
      <c r="AZ244" s="23">
        <f t="shared" si="230"/>
        <v>-167.09055942141853</v>
      </c>
      <c r="BA244" s="23">
        <f t="shared" si="231"/>
        <v>-386.27</v>
      </c>
      <c r="BB244" s="23">
        <f t="shared" ref="BB244" si="373">BA244+AZ244</f>
        <v>-553.36055942141854</v>
      </c>
      <c r="BC244" s="23">
        <f t="shared" si="232"/>
        <v>-2454.3754252577596</v>
      </c>
      <c r="BE244" s="88">
        <f t="shared" si="233"/>
        <v>2.3400000000000001E-2</v>
      </c>
      <c r="BF244" s="89">
        <f>BE244+Dane_kredytowe!F$12</f>
        <v>5.3400000000000003E-2</v>
      </c>
      <c r="BG244" s="23">
        <f>BG$5+SUM(BH$5:BH243)+SUM(R$5:R243)-SUM(S$5:S243)</f>
        <v>220142.62583910764</v>
      </c>
      <c r="BH244" s="22">
        <f t="shared" ref="BH244" si="374">IF(BJ244&lt;0,BJ244-BI244,0)</f>
        <v>-700.65578851503358</v>
      </c>
      <c r="BI244" s="22">
        <f t="shared" ref="BI244" si="375">IF(BJ244&lt;0,-BG244*BF244/12,0)</f>
        <v>-979.63468498402915</v>
      </c>
      <c r="BJ244" s="22">
        <f>IF(U244&lt;0,PMT(BF244/12,Dane_kredytowe!F$13-SUM(AB$5:AB244)+1,BG244),0)</f>
        <v>-1680.2904734990627</v>
      </c>
      <c r="BL244" s="23">
        <f>BL$5+SUM(BN$5:BN243)+SUM(R$5:R243)-SUM(S$5:S243)</f>
        <v>164166.66666666692</v>
      </c>
      <c r="BM244" s="23">
        <f t="shared" ref="BM244" si="376">IF(AB244=1,-BF244*BL244/12,0)</f>
        <v>-730.54166666666788</v>
      </c>
      <c r="BN244" s="23">
        <f t="shared" si="234"/>
        <v>-833.33333333333462</v>
      </c>
      <c r="BO244" s="23">
        <f t="shared" ref="BO244" si="377">BN244+BM244</f>
        <v>-1563.8750000000025</v>
      </c>
      <c r="BQ244" s="89">
        <f t="shared" si="235"/>
        <v>4.0099999999999997E-2</v>
      </c>
      <c r="BR244" s="23">
        <f>BR$5+SUM(BS$5:BS243)+SUM(R$5:R243)-SUM(S$5:S243)+SUM(BV$5:BV243)</f>
        <v>247522.46697644718</v>
      </c>
      <c r="BS244" s="22">
        <f t="shared" ref="BS244" si="378">IF(BU244&lt;0,BU244-BT244,0)</f>
        <v>-889.96612882913962</v>
      </c>
      <c r="BT244" s="22">
        <f t="shared" ref="BT244" si="379">IF(BU244&lt;0,-BR244*BQ244/12,0)</f>
        <v>-827.13757714629435</v>
      </c>
      <c r="BU244" s="22">
        <f>IF(U244&lt;0,PMT(BQ244/12,Dane_kredytowe!F$13-SUM(AB$5:AB244)+1,BR244),0)</f>
        <v>-1717.103705975434</v>
      </c>
      <c r="BV244" s="22">
        <f t="shared" si="243"/>
        <v>12.252156558975912</v>
      </c>
      <c r="BX244" s="23">
        <f>BX$5+SUM(BZ$5:BZ243)+SUM(R$5:R243)-SUM(S$5:S243)+SUM(CB$5,CB243)</f>
        <v>163687.7672471501</v>
      </c>
      <c r="BY244" s="22">
        <f t="shared" si="236"/>
        <v>-546.98995555089323</v>
      </c>
      <c r="BZ244" s="22">
        <f t="shared" si="237"/>
        <v>-830.90237181294469</v>
      </c>
      <c r="CA244" s="22">
        <f t="shared" ref="CA244" si="380">BZ244+BY244</f>
        <v>-1377.8923273638379</v>
      </c>
      <c r="CB244" s="22">
        <f t="shared" ref="CB244" si="381">$F244-CA244</f>
        <v>-326.95922205262013</v>
      </c>
      <c r="CD244" s="22">
        <f>CD$5+SUM(CE$5:CE243)+SUM(R$5:R243)-SUM(S$5:S243)-SUM(CF$5:CF243)</f>
        <v>213139.80861941131</v>
      </c>
      <c r="CE244" s="22">
        <f t="shared" si="244"/>
        <v>546.98995555089323</v>
      </c>
      <c r="CF244" s="22">
        <f t="shared" si="238"/>
        <v>1704.8515494164581</v>
      </c>
      <c r="CG244" s="22">
        <f t="shared" si="245"/>
        <v>1157.8615938655648</v>
      </c>
      <c r="CI244" s="89">
        <f t="shared" si="239"/>
        <v>0.2374</v>
      </c>
      <c r="CJ244" s="22">
        <f t="shared" si="240"/>
        <v>-404.73</v>
      </c>
      <c r="CK244" s="15">
        <f t="shared" si="246"/>
        <v>0</v>
      </c>
      <c r="CM244" s="22">
        <f t="shared" si="247"/>
        <v>-236506.38662293347</v>
      </c>
      <c r="CN244" s="15">
        <f t="shared" si="253"/>
        <v>-461.18745391472027</v>
      </c>
    </row>
    <row r="245" spans="1:92">
      <c r="A245" s="25">
        <v>2022</v>
      </c>
      <c r="B245" s="80">
        <v>44562</v>
      </c>
      <c r="C245" s="81">
        <f t="shared" ref="C245" si="382">VLOOKUP(B245,Kursy,C$2)</f>
        <v>4.3818000000000001</v>
      </c>
      <c r="D245" s="82">
        <f t="shared" si="248"/>
        <v>4.5132539999999999</v>
      </c>
      <c r="E245" s="73">
        <f t="shared" ref="E245" si="383">Z245</f>
        <v>-373.17844592260116</v>
      </c>
      <c r="F245" s="19">
        <f t="shared" ref="F245" si="384">E245*D245</f>
        <v>-1684.2491137739632</v>
      </c>
      <c r="G245" s="19">
        <f t="shared" ref="G245" si="385">U245</f>
        <v>-1176.7926551197152</v>
      </c>
      <c r="H245" s="19">
        <f t="shared" ref="H245" si="386">G245-F245</f>
        <v>507.45645865424808</v>
      </c>
      <c r="I245" s="62"/>
      <c r="K245" s="15">
        <f>IF(B245&lt;=Dane_kredytowe!F$9,0,K244+1)</f>
        <v>165</v>
      </c>
      <c r="L245" s="83">
        <f t="shared" ref="L245" si="387">VLOOKUP(B245,Oproc,C$2)</f>
        <v>-7.7000000000000002E-3</v>
      </c>
      <c r="M245" s="84">
        <f>L245+Dane_kredytowe!F$12</f>
        <v>2.23E-2</v>
      </c>
      <c r="N245" s="79">
        <f>MAX(Dane_kredytowe!F$17+SUM(AA$5:AA244)-SUM(X$5:X245)+SUM(W$5:W245),0)</f>
        <v>61255.362800071882</v>
      </c>
      <c r="O245" s="85">
        <f>MAX(Dane_kredytowe!F$8+SUM(V$5:V244)-SUM(S$5:S245)+SUM(R$5:R244),0)</f>
        <v>193164.58873074554</v>
      </c>
      <c r="P245" s="67">
        <f t="shared" si="316"/>
        <v>360</v>
      </c>
      <c r="Q245" s="127" t="str">
        <f>IF(AND(K245&gt;0,K245&lt;=Dane_kredytowe!F$16),"tak","nie")</f>
        <v>nie</v>
      </c>
      <c r="R245" s="69"/>
      <c r="S245" s="86">
        <f>IF(Dane_kredytowe!F$19=B245,O244+V244,_xlfn.XLOOKUP(B245,Dane_kredytowe!M$9:M$18,Dane_kredytowe!N$9:N$18,0))</f>
        <v>0</v>
      </c>
      <c r="T245" s="71">
        <f t="shared" si="219"/>
        <v>-358.96419405796883</v>
      </c>
      <c r="U245" s="72">
        <f>IF(Q245="tak",T245,IF(P245-SUM(AB$5:AB245)+1&gt;0,IF(Dane_kredytowe!F$9&lt;B245,IF(SUM(AB$5:AB245)-Dane_kredytowe!F$16+1&gt;0,PMT(M245/12,P245+1-SUM(AB$5:AB245),O245),T245),0),0))</f>
        <v>-1176.7926551197152</v>
      </c>
      <c r="V245" s="72">
        <f t="shared" si="241"/>
        <v>-817.82846106174634</v>
      </c>
      <c r="W245" s="19" t="str">
        <f t="shared" si="242"/>
        <v xml:space="preserve"> </v>
      </c>
      <c r="X245" s="19">
        <f t="shared" si="266"/>
        <v>0</v>
      </c>
      <c r="Y245" s="73">
        <f t="shared" si="220"/>
        <v>-113.83288253680024</v>
      </c>
      <c r="Z245" s="19">
        <f>IF(P245-SUM(AB$5:AB245)+1&gt;0,IF(Dane_kredytowe!F$9&lt;B245,IF(SUM(AB$5:AB245)-Dane_kredytowe!F$16+1&gt;0,PMT(M245/12,P245+1-SUM(AB$5:AB245),N245),Y245),0),0)</f>
        <v>-373.17844592260116</v>
      </c>
      <c r="AA245" s="19">
        <f t="shared" ref="AA245" si="388">Z245-Y245</f>
        <v>-259.34556338580092</v>
      </c>
      <c r="AB245" s="20">
        <f>IF(AND(Dane_kredytowe!F$9&lt;B245,SUM(AB$5:AB244)&lt;P244),1," ")</f>
        <v>1</v>
      </c>
      <c r="AD245" s="75">
        <f>IF(OR(B245&lt;Dane_kredytowe!F$15,Dane_kredytowe!F$15=""),-F245+S245,0)</f>
        <v>0</v>
      </c>
      <c r="AE245" s="75">
        <f t="shared" si="221"/>
        <v>373.17844592260116</v>
      </c>
      <c r="AG245" s="22">
        <f>Dane_kredytowe!F$17-SUM(AI$5:AI244)+SUM(W$42:W245)-SUM(X$42:X245)</f>
        <v>51795.820000000014</v>
      </c>
      <c r="AH245" s="22">
        <f t="shared" si="222"/>
        <v>96.25</v>
      </c>
      <c r="AI245" s="22">
        <f t="shared" si="223"/>
        <v>264.26</v>
      </c>
      <c r="AJ245" s="22">
        <f t="shared" ref="AJ245" si="389">AI245+AH245</f>
        <v>360.51</v>
      </c>
      <c r="AK245" s="22">
        <f t="shared" si="224"/>
        <v>1627.07</v>
      </c>
      <c r="AL245" s="22">
        <f>Dane_kredytowe!F$8-SUM(AN$5:AN244)+SUM(R$42:R244)-SUM(S$42:S245)</f>
        <v>163333.65999999992</v>
      </c>
      <c r="AM245" s="22">
        <f t="shared" si="225"/>
        <v>303.52999999999997</v>
      </c>
      <c r="AN245" s="22">
        <f t="shared" si="226"/>
        <v>833.34</v>
      </c>
      <c r="AO245" s="22">
        <f t="shared" ref="AO245" si="390">AN245+AM245</f>
        <v>1136.8699999999999</v>
      </c>
      <c r="AP245" s="22">
        <f t="shared" ref="AP245" si="391">AK245-AO245</f>
        <v>490.20000000000005</v>
      </c>
      <c r="AR245" s="87">
        <f t="shared" si="227"/>
        <v>44562</v>
      </c>
      <c r="AS245" s="23">
        <f>AS$5+SUM(AV$5:AV244)-SUM(X$5:X245)+SUM(W$5:W245)</f>
        <v>89535.824942405452</v>
      </c>
      <c r="AT245" s="22">
        <f t="shared" si="228"/>
        <v>-166.38740801797013</v>
      </c>
      <c r="AU245" s="22">
        <f>IF(AB245=1,IF(Q245="tak",AT245,PMT(M245/12,P245+1-SUM(AB$5:AB245),AS245)),0)</f>
        <v>-545.46799625461904</v>
      </c>
      <c r="AV245" s="22">
        <f t="shared" ref="AV245" si="392">AU245-AT245</f>
        <v>-379.08058823664891</v>
      </c>
      <c r="AW245" s="22">
        <f t="shared" si="229"/>
        <v>-2390.1316659884897</v>
      </c>
      <c r="AY245" s="23">
        <f>AY$5+SUM(BA$5:BA244)+SUM(W$5:W244)-SUM(X$5:X244)</f>
        <v>75707.99143784208</v>
      </c>
      <c r="AZ245" s="23">
        <f t="shared" si="230"/>
        <v>-166.38740801797013</v>
      </c>
      <c r="BA245" s="23">
        <f t="shared" si="231"/>
        <v>-386.27</v>
      </c>
      <c r="BB245" s="23">
        <f t="shared" ref="BB245" si="393">BA245+AZ245</f>
        <v>-552.65740801797006</v>
      </c>
      <c r="BC245" s="23">
        <f t="shared" si="232"/>
        <v>-2421.6342304531413</v>
      </c>
      <c r="BE245" s="88">
        <f t="shared" si="233"/>
        <v>2.5100000000000001E-2</v>
      </c>
      <c r="BF245" s="89">
        <f>BE245+Dane_kredytowe!F$12</f>
        <v>5.5099999999999996E-2</v>
      </c>
      <c r="BG245" s="23">
        <f>BG$5+SUM(BH$5:BH244)+SUM(R$5:R244)-SUM(S$5:S244)</f>
        <v>219441.97005059262</v>
      </c>
      <c r="BH245" s="22">
        <f t="shared" ref="BH245" si="394">IF(BJ245&lt;0,BJ245-BI245,0)</f>
        <v>-692.7686892050499</v>
      </c>
      <c r="BI245" s="22">
        <f t="shared" ref="BI245" si="395">IF(BJ245&lt;0,-BG245*BF245/12,0)</f>
        <v>-1007.604379148971</v>
      </c>
      <c r="BJ245" s="22">
        <f>IF(U245&lt;0,PMT(BF245/12,Dane_kredytowe!F$13-SUM(AB$5:AB245)+1,BG245),0)</f>
        <v>-1700.3730683540209</v>
      </c>
      <c r="BL245" s="23">
        <f>BL$5+SUM(BN$5:BN244)+SUM(R$5:R244)-SUM(S$5:S244)</f>
        <v>163333.33333333358</v>
      </c>
      <c r="BM245" s="23">
        <f t="shared" ref="BM245" si="396">IF(AB245=1,-BF245*BL245/12,0)</f>
        <v>-749.97222222222319</v>
      </c>
      <c r="BN245" s="23">
        <f t="shared" si="234"/>
        <v>-833.33333333333462</v>
      </c>
      <c r="BO245" s="23">
        <f t="shared" ref="BO245" si="397">BN245+BM245</f>
        <v>-1583.3055555555579</v>
      </c>
      <c r="BQ245" s="89">
        <f t="shared" ref="BQ245" si="398">BE245+$BQ$4</f>
        <v>4.1800000000000004E-2</v>
      </c>
      <c r="BR245" s="23">
        <f>BR$5+SUM(BS$5:BS244)+SUM(R$5:R244)-SUM(S$5:S244)+SUM(BV$5:BV244)</f>
        <v>246644.75300417701</v>
      </c>
      <c r="BS245" s="22">
        <f t="shared" ref="BS245" si="399">IF(BU245&lt;0,BU245-BT245,0)</f>
        <v>-879.43113706059</v>
      </c>
      <c r="BT245" s="22">
        <f t="shared" ref="BT245" si="400">IF(BU245&lt;0,-BR245*BQ245/12,0)</f>
        <v>-859.14588963121662</v>
      </c>
      <c r="BU245" s="22">
        <f>IF(U245&lt;0,PMT(BQ245/12,Dane_kredytowe!F$13-SUM(AB$5:AB245)+1,BR245),0)</f>
        <v>-1738.5770266918066</v>
      </c>
      <c r="BV245" s="22">
        <f t="shared" si="243"/>
        <v>54.327912917843378</v>
      </c>
      <c r="BX245" s="23">
        <f>BX$5+SUM(BZ$5:BZ244)+SUM(R$5:R244)-SUM(S$5:S244)+SUM(CB$5,CB244)</f>
        <v>162952.43933893525</v>
      </c>
      <c r="BY245" s="22">
        <f t="shared" ref="BY245" si="401">IF(AB245=1,-BQ245*BX245/12,0)</f>
        <v>-567.61766369729116</v>
      </c>
      <c r="BZ245" s="22">
        <f t="shared" si="237"/>
        <v>-831.38999662722063</v>
      </c>
      <c r="CA245" s="22">
        <f t="shared" ref="CA245" si="402">BZ245+BY245</f>
        <v>-1399.0076603245118</v>
      </c>
      <c r="CB245" s="22">
        <f t="shared" ref="CB245" si="403">$F245-CA245</f>
        <v>-285.24145344945146</v>
      </c>
      <c r="CD245" s="22">
        <f>CD$5+SUM(CE$5:CE244)+SUM(R$5:R244)-SUM(S$5:S244)-SUM(CF$5:CF244)</f>
        <v>211981.94702554573</v>
      </c>
      <c r="CE245" s="22">
        <f t="shared" si="244"/>
        <v>567.61766369729116</v>
      </c>
      <c r="CF245" s="22">
        <f t="shared" si="238"/>
        <v>1684.2491137739632</v>
      </c>
      <c r="CG245" s="22">
        <f t="shared" si="245"/>
        <v>1116.6314500766721</v>
      </c>
      <c r="CI245" s="89">
        <f t="shared" si="239"/>
        <v>0.21429999999999999</v>
      </c>
      <c r="CJ245" s="22">
        <f t="shared" si="240"/>
        <v>-360.93</v>
      </c>
      <c r="CK245" s="15">
        <f t="shared" si="246"/>
        <v>0</v>
      </c>
      <c r="CM245" s="22">
        <f t="shared" si="247"/>
        <v>-238190.63573670742</v>
      </c>
      <c r="CN245" s="15">
        <f t="shared" si="253"/>
        <v>-498.215413082613</v>
      </c>
    </row>
    <row r="246" spans="1:92">
      <c r="A246" s="25"/>
      <c r="B246" s="80">
        <v>44593</v>
      </c>
      <c r="C246" s="81">
        <f t="shared" ref="C246:C247" si="404">VLOOKUP(B246,Kursy,C$2)</f>
        <v>4.3506</v>
      </c>
      <c r="D246" s="82">
        <f t="shared" si="248"/>
        <v>4.4811180000000004</v>
      </c>
      <c r="E246" s="73">
        <f t="shared" ref="E246:E247" si="405">Z246</f>
        <v>-373.1784459226011</v>
      </c>
      <c r="F246" s="19">
        <f t="shared" ref="F246:F247" si="406">E246*D246</f>
        <v>-1672.2566512357946</v>
      </c>
      <c r="G246" s="19">
        <f t="shared" ref="G246:G247" si="407">U246</f>
        <v>-1176.7926551197152</v>
      </c>
      <c r="H246" s="19">
        <f t="shared" ref="H246:H247" si="408">G246-F246</f>
        <v>495.46399611607944</v>
      </c>
      <c r="I246" s="62"/>
      <c r="K246" s="15">
        <f>IF(B246&lt;=Dane_kredytowe!F$9,0,K245+1)</f>
        <v>166</v>
      </c>
      <c r="L246" s="83">
        <f t="shared" ref="L246:L247" si="409">VLOOKUP(B246,Oproc,C$2)</f>
        <v>-7.7000000000000002E-3</v>
      </c>
      <c r="M246" s="84">
        <f>L246+Dane_kredytowe!F$12</f>
        <v>2.23E-2</v>
      </c>
      <c r="N246" s="79">
        <f>MAX(Dane_kredytowe!F$17+SUM(AA$5:AA245)-SUM(X$5:X246)+SUM(W$5:W246),0)</f>
        <v>60996.017236686079</v>
      </c>
      <c r="O246" s="85">
        <f>MAX(Dane_kredytowe!F$8+SUM(V$5:V245)-SUM(S$5:S246)+SUM(R$5:R245),0)</f>
        <v>192346.76026968381</v>
      </c>
      <c r="P246" s="67">
        <f t="shared" si="316"/>
        <v>360</v>
      </c>
      <c r="Q246" s="127" t="str">
        <f>IF(AND(K246&gt;0,K246&lt;=Dane_kredytowe!F$16),"tak","nie")</f>
        <v>nie</v>
      </c>
      <c r="R246" s="69"/>
      <c r="S246" s="86">
        <f>IF(Dane_kredytowe!F$19=B246,O245+V245,_xlfn.XLOOKUP(B246,Dane_kredytowe!M$9:M$18,Dane_kredytowe!N$9:N$18,0))</f>
        <v>0</v>
      </c>
      <c r="T246" s="71">
        <f t="shared" si="219"/>
        <v>-357.4443961678291</v>
      </c>
      <c r="U246" s="72">
        <f>IF(Q246="tak",T246,IF(P246-SUM(AB$5:AB246)+1&gt;0,IF(Dane_kredytowe!F$9&lt;B246,IF(SUM(AB$5:AB246)-Dane_kredytowe!F$16+1&gt;0,PMT(M246/12,P246+1-SUM(AB$5:AB246),O246),T246),0),0))</f>
        <v>-1176.7926551197152</v>
      </c>
      <c r="V246" s="72">
        <f t="shared" si="241"/>
        <v>-819.34825895188601</v>
      </c>
      <c r="W246" s="19" t="str">
        <f t="shared" si="242"/>
        <v xml:space="preserve"> </v>
      </c>
      <c r="X246" s="19">
        <f t="shared" si="266"/>
        <v>0</v>
      </c>
      <c r="Y246" s="73">
        <f t="shared" si="220"/>
        <v>-113.35093203150831</v>
      </c>
      <c r="Z246" s="19">
        <f>IF(P246-SUM(AB$5:AB246)+1&gt;0,IF(Dane_kredytowe!F$9&lt;B246,IF(SUM(AB$5:AB246)-Dane_kredytowe!F$16+1&gt;0,PMT(M246/12,P246+1-SUM(AB$5:AB246),N246),Y246),0),0)</f>
        <v>-373.1784459226011</v>
      </c>
      <c r="AA246" s="19">
        <f t="shared" ref="AA246:AA247" si="410">Z246-Y246</f>
        <v>-259.82751389109279</v>
      </c>
      <c r="AB246" s="20">
        <f>IF(AND(Dane_kredytowe!F$9&lt;B246,SUM(AB$5:AB245)&lt;P245),1," ")</f>
        <v>1</v>
      </c>
      <c r="AD246" s="75">
        <f>IF(OR(B246&lt;Dane_kredytowe!F$15,Dane_kredytowe!F$15=""),-F246+S246,0)</f>
        <v>0</v>
      </c>
      <c r="AE246" s="75">
        <f t="shared" si="221"/>
        <v>373.1784459226011</v>
      </c>
      <c r="AG246" s="22">
        <f>Dane_kredytowe!F$17-SUM(AI$5:AI245)+SUM(W$42:W246)-SUM(X$42:X246)</f>
        <v>51531.560000000012</v>
      </c>
      <c r="AH246" s="22">
        <f t="shared" si="222"/>
        <v>95.76</v>
      </c>
      <c r="AI246" s="22">
        <f t="shared" si="223"/>
        <v>264.26</v>
      </c>
      <c r="AJ246" s="22">
        <f t="shared" ref="AJ246:AJ247" si="411">AI246+AH246</f>
        <v>360.02</v>
      </c>
      <c r="AK246" s="22">
        <f t="shared" si="224"/>
        <v>1613.29</v>
      </c>
      <c r="AL246" s="22">
        <f>Dane_kredytowe!F$8-SUM(AN$5:AN245)+SUM(R$42:R245)-SUM(S$42:S246)</f>
        <v>162500.31999999992</v>
      </c>
      <c r="AM246" s="22">
        <f t="shared" si="225"/>
        <v>301.98</v>
      </c>
      <c r="AN246" s="22">
        <f t="shared" si="226"/>
        <v>833.33</v>
      </c>
      <c r="AO246" s="22">
        <f t="shared" ref="AO246:AO247" si="412">AN246+AM246</f>
        <v>1135.31</v>
      </c>
      <c r="AP246" s="22">
        <f t="shared" ref="AP246:AP247" si="413">AK246-AO246</f>
        <v>477.98</v>
      </c>
      <c r="AR246" s="87">
        <f t="shared" si="227"/>
        <v>44593</v>
      </c>
      <c r="AS246" s="23">
        <f>AS$5+SUM(AV$5:AV245)-SUM(X$5:X246)+SUM(W$5:W246)</f>
        <v>89156.744354168812</v>
      </c>
      <c r="AT246" s="22">
        <f t="shared" si="228"/>
        <v>-165.68294992483038</v>
      </c>
      <c r="AU246" s="22">
        <f>IF(AB246=1,IF(Q246="tak",AT246,PMT(M246/12,P246+1-SUM(AB$5:AB246),AS246)),0)</f>
        <v>-545.46799625461904</v>
      </c>
      <c r="AV246" s="22">
        <f t="shared" ref="AV246:AV247" si="414">AU246-AT246</f>
        <v>-379.78504632978866</v>
      </c>
      <c r="AW246" s="22">
        <f t="shared" si="229"/>
        <v>-2373.1130645053454</v>
      </c>
      <c r="AY246" s="23">
        <f>AY$5+SUM(BA$5:BA245)+SUM(W$5:W245)-SUM(X$5:X245)</f>
        <v>75321.721437842076</v>
      </c>
      <c r="AZ246" s="23">
        <f t="shared" si="230"/>
        <v>-165.68294992483038</v>
      </c>
      <c r="BA246" s="23">
        <f t="shared" si="231"/>
        <v>-386.27</v>
      </c>
      <c r="BB246" s="23">
        <f t="shared" ref="BB246:BB247" si="415">BA246+AZ246</f>
        <v>-551.95294992483036</v>
      </c>
      <c r="BC246" s="23">
        <f t="shared" si="232"/>
        <v>-2401.3265039429671</v>
      </c>
      <c r="BE246" s="88">
        <f t="shared" si="233"/>
        <v>3.3309999999999999E-2</v>
      </c>
      <c r="BF246" s="89">
        <f>BE246+Dane_kredytowe!F$12</f>
        <v>6.3310000000000005E-2</v>
      </c>
      <c r="BG246" s="23">
        <f>BG$5+SUM(BH$5:BH245)+SUM(R$5:R245)-SUM(S$5:S245)</f>
        <v>218749.20136138756</v>
      </c>
      <c r="BH246" s="22">
        <f t="shared" ref="BH246:BH247" si="416">IF(BJ246&lt;0,BJ246-BI246,0)</f>
        <v>-644.69808902738214</v>
      </c>
      <c r="BI246" s="22">
        <f t="shared" ref="BI246:BI247" si="417">IF(BJ246&lt;0,-BG246*BF246/12,0)</f>
        <v>-1154.0843281824539</v>
      </c>
      <c r="BJ246" s="22">
        <f>IF(U246&lt;0,PMT(BF246/12,Dane_kredytowe!F$13-SUM(AB$5:AB246)+1,BG246),0)</f>
        <v>-1798.782417209836</v>
      </c>
      <c r="BL246" s="23">
        <f>BL$5+SUM(BN$5:BN245)+SUM(R$5:R245)-SUM(S$5:S245)</f>
        <v>162500.00000000023</v>
      </c>
      <c r="BM246" s="23">
        <f t="shared" ref="BM246:BM247" si="418">IF(AB246=1,-BF246*BL246/12,0)</f>
        <v>-857.32291666666799</v>
      </c>
      <c r="BN246" s="23">
        <f t="shared" si="234"/>
        <v>-833.33333333333451</v>
      </c>
      <c r="BO246" s="23">
        <f t="shared" ref="BO246:BO247" si="419">BN246+BM246</f>
        <v>-1690.6562500000025</v>
      </c>
      <c r="BQ246" s="89">
        <f t="shared" ref="BQ246:BQ247" si="420">BE246+$BQ$4</f>
        <v>5.0009999999999999E-2</v>
      </c>
      <c r="BR246" s="23">
        <f>BR$5+SUM(BS$5:BS245)+SUM(R$5:R245)-SUM(S$5:S245)+SUM(BV$5:BV245)</f>
        <v>245819.64978003426</v>
      </c>
      <c r="BS246" s="22">
        <f t="shared" ref="BS246:BS247" si="421">IF(BU246&lt;0,BU246-BT246,0)</f>
        <v>-819.49841379359191</v>
      </c>
      <c r="BT246" s="22">
        <f t="shared" ref="BT246:BT247" si="422">IF(BU246&lt;0,-BR246*BQ246/12,0)</f>
        <v>-1024.4533904582929</v>
      </c>
      <c r="BU246" s="22">
        <f>IF(U246&lt;0,PMT(BQ246/12,Dane_kredytowe!F$13-SUM(AB$5:AB246)+1,BR246),0)</f>
        <v>-1843.9518042518848</v>
      </c>
      <c r="BV246" s="22">
        <f t="shared" si="243"/>
        <v>171.69515301609022</v>
      </c>
      <c r="BX246" s="23">
        <f>BX$5+SUM(BZ$5:BZ245)+SUM(R$5:R245)-SUM(S$5:S245)+SUM(CB$5,CB245)</f>
        <v>162162.7671109112</v>
      </c>
      <c r="BY246" s="22">
        <f t="shared" ref="BY246:BY247" si="423">IF(AB246=1,-BQ246*BX246/12,0)</f>
        <v>-675.81333193472244</v>
      </c>
      <c r="BZ246" s="22">
        <f t="shared" si="237"/>
        <v>-831.60393390210868</v>
      </c>
      <c r="CA246" s="22">
        <f t="shared" ref="CA246:CA247" si="424">BZ246+BY246</f>
        <v>-1507.4172658368311</v>
      </c>
      <c r="CB246" s="22">
        <f t="shared" ref="CB246:CB247" si="425">$F246-CA246</f>
        <v>-164.83938539896349</v>
      </c>
      <c r="CD246" s="22">
        <f>CD$5+SUM(CE$5:CE245)+SUM(R$5:R245)-SUM(S$5:S245)-SUM(CF$5:CF245)</f>
        <v>210865.31557546911</v>
      </c>
      <c r="CE246" s="22">
        <f t="shared" si="244"/>
        <v>675.81333193472244</v>
      </c>
      <c r="CF246" s="22">
        <f t="shared" si="238"/>
        <v>1672.2566512357946</v>
      </c>
      <c r="CG246" s="22">
        <f t="shared" si="245"/>
        <v>996.44331930107217</v>
      </c>
      <c r="CI246" s="89">
        <f t="shared" si="239"/>
        <v>0.21790000000000001</v>
      </c>
      <c r="CJ246" s="22">
        <f t="shared" si="240"/>
        <v>-364.38</v>
      </c>
      <c r="CK246" s="15">
        <f t="shared" si="246"/>
        <v>0</v>
      </c>
      <c r="CM246" s="22">
        <f t="shared" si="247"/>
        <v>-239862.89238794323</v>
      </c>
      <c r="CN246" s="15">
        <f t="shared" si="253"/>
        <v>-665.81941212019899</v>
      </c>
    </row>
    <row r="247" spans="1:92">
      <c r="A247" s="25"/>
      <c r="B247" s="80">
        <v>44621</v>
      </c>
      <c r="C247" s="81">
        <f t="shared" si="404"/>
        <v>4.6497999999999999</v>
      </c>
      <c r="D247" s="82">
        <f t="shared" si="248"/>
        <v>4.7892939999999999</v>
      </c>
      <c r="E247" s="73">
        <f t="shared" si="405"/>
        <v>-373.17844592260116</v>
      </c>
      <c r="F247" s="19">
        <f t="shared" si="406"/>
        <v>-1787.2612919864382</v>
      </c>
      <c r="G247" s="19">
        <f t="shared" si="407"/>
        <v>-1176.7926551197152</v>
      </c>
      <c r="H247" s="19">
        <f t="shared" si="408"/>
        <v>610.46863686672305</v>
      </c>
      <c r="I247" s="62"/>
      <c r="K247" s="15">
        <f>IF(B247&lt;=Dane_kredytowe!F$9,0,K246+1)</f>
        <v>167</v>
      </c>
      <c r="L247" s="83">
        <f t="shared" si="409"/>
        <v>-7.7000000000000002E-3</v>
      </c>
      <c r="M247" s="84">
        <f>L247+Dane_kredytowe!F$12</f>
        <v>2.23E-2</v>
      </c>
      <c r="N247" s="79">
        <f>MAX(Dane_kredytowe!F$17+SUM(AA$5:AA246)-SUM(X$5:X247)+SUM(W$5:W247),0)</f>
        <v>60736.189722794988</v>
      </c>
      <c r="O247" s="85">
        <f>MAX(Dane_kredytowe!F$8+SUM(V$5:V246)-SUM(S$5:S247)+SUM(R$5:R246),0)</f>
        <v>191527.41201073193</v>
      </c>
      <c r="P247" s="67">
        <f t="shared" si="316"/>
        <v>360</v>
      </c>
      <c r="Q247" s="127" t="str">
        <f>IF(AND(K247&gt;0,K247&lt;=Dane_kredytowe!F$16),"tak","nie")</f>
        <v>nie</v>
      </c>
      <c r="R247" s="69"/>
      <c r="S247" s="86">
        <f>IF(Dane_kredytowe!F$19=B247,O246+V246,_xlfn.XLOOKUP(B247,Dane_kredytowe!M$9:M$18,Dane_kredytowe!N$9:N$18,0))</f>
        <v>0</v>
      </c>
      <c r="T247" s="71">
        <f t="shared" si="219"/>
        <v>-355.92177398661016</v>
      </c>
      <c r="U247" s="72">
        <f>IF(Q247="tak",T247,IF(P247-SUM(AB$5:AB247)+1&gt;0,IF(Dane_kredytowe!F$9&lt;B247,IF(SUM(AB$5:AB247)-Dane_kredytowe!F$16+1&gt;0,PMT(M247/12,P247+1-SUM(AB$5:AB247),O247),T247),0),0))</f>
        <v>-1176.7926551197152</v>
      </c>
      <c r="V247" s="72">
        <f t="shared" si="241"/>
        <v>-820.87088113310506</v>
      </c>
      <c r="W247" s="19" t="str">
        <f t="shared" si="242"/>
        <v xml:space="preserve"> </v>
      </c>
      <c r="X247" s="19">
        <f t="shared" si="266"/>
        <v>0</v>
      </c>
      <c r="Y247" s="73">
        <f t="shared" si="220"/>
        <v>-112.86808590152735</v>
      </c>
      <c r="Z247" s="19">
        <f>IF(P247-SUM(AB$5:AB247)+1&gt;0,IF(Dane_kredytowe!F$9&lt;B247,IF(SUM(AB$5:AB247)-Dane_kredytowe!F$16+1&gt;0,PMT(M247/12,P247+1-SUM(AB$5:AB247),N247),Y247),0),0)</f>
        <v>-373.17844592260116</v>
      </c>
      <c r="AA247" s="19">
        <f t="shared" si="410"/>
        <v>-260.31036002107379</v>
      </c>
      <c r="AB247" s="20">
        <f>IF(AND(Dane_kredytowe!F$9&lt;B247,SUM(AB$5:AB246)&lt;P246),1," ")</f>
        <v>1</v>
      </c>
      <c r="AD247" s="75">
        <f>IF(OR(B247&lt;Dane_kredytowe!F$15,Dane_kredytowe!F$15=""),-F247+S247,0)</f>
        <v>0</v>
      </c>
      <c r="AE247" s="75">
        <f t="shared" si="221"/>
        <v>373.17844592260116</v>
      </c>
      <c r="AG247" s="22">
        <f>Dane_kredytowe!F$17-SUM(AI$5:AI246)+SUM(W$42:W247)-SUM(X$42:X247)</f>
        <v>51267.30000000001</v>
      </c>
      <c r="AH247" s="22">
        <f t="shared" si="222"/>
        <v>95.27</v>
      </c>
      <c r="AI247" s="22">
        <f t="shared" si="223"/>
        <v>264.26</v>
      </c>
      <c r="AJ247" s="22">
        <f t="shared" si="411"/>
        <v>359.53</v>
      </c>
      <c r="AK247" s="22">
        <f t="shared" si="224"/>
        <v>1721.89</v>
      </c>
      <c r="AL247" s="22">
        <f>Dane_kredytowe!F$8-SUM(AN$5:AN246)+SUM(R$42:R246)-SUM(S$42:S247)</f>
        <v>161666.98999999993</v>
      </c>
      <c r="AM247" s="22">
        <f t="shared" si="225"/>
        <v>300.43</v>
      </c>
      <c r="AN247" s="22">
        <f t="shared" si="226"/>
        <v>833.34</v>
      </c>
      <c r="AO247" s="22">
        <f t="shared" si="412"/>
        <v>1133.77</v>
      </c>
      <c r="AP247" s="22">
        <f t="shared" si="413"/>
        <v>588.12000000000012</v>
      </c>
      <c r="AR247" s="87">
        <f t="shared" si="227"/>
        <v>44621</v>
      </c>
      <c r="AS247" s="23">
        <f>AS$5+SUM(AV$5:AV246)-SUM(X$5:X247)+SUM(W$5:W247)</f>
        <v>88776.959307839017</v>
      </c>
      <c r="AT247" s="22">
        <f t="shared" si="228"/>
        <v>-164.97718271373418</v>
      </c>
      <c r="AU247" s="22">
        <f>IF(AB247=1,IF(Q247="tak",AT247,PMT(M247/12,P247+1-SUM(AB$5:AB247),AS247)),0)</f>
        <v>-545.46799625461892</v>
      </c>
      <c r="AV247" s="22">
        <f t="shared" si="414"/>
        <v>-380.49081354088474</v>
      </c>
      <c r="AW247" s="22">
        <f t="shared" si="229"/>
        <v>-2536.317088984727</v>
      </c>
      <c r="AY247" s="23">
        <f>AY$5+SUM(BA$5:BA246)+SUM(W$5:W246)-SUM(X$5:X246)</f>
        <v>74935.451437842072</v>
      </c>
      <c r="AZ247" s="23">
        <f t="shared" si="230"/>
        <v>-164.97718271373418</v>
      </c>
      <c r="BA247" s="23">
        <f t="shared" si="231"/>
        <v>-386.27</v>
      </c>
      <c r="BB247" s="23">
        <f t="shared" si="415"/>
        <v>-551.24718271373422</v>
      </c>
      <c r="BC247" s="23">
        <f t="shared" si="232"/>
        <v>-2563.1891501823216</v>
      </c>
      <c r="BE247" s="88">
        <f t="shared" si="233"/>
        <v>4.2673999999999997E-2</v>
      </c>
      <c r="BF247" s="89">
        <f>BE247+Dane_kredytowe!F$12</f>
        <v>7.2673999999999989E-2</v>
      </c>
      <c r="BG247" s="23">
        <f>BG$5+SUM(BH$5:BH246)+SUM(R$5:R246)-SUM(S$5:S246)</f>
        <v>218104.50327236016</v>
      </c>
      <c r="BH247" s="22">
        <f t="shared" si="416"/>
        <v>-593.29143558042892</v>
      </c>
      <c r="BI247" s="22">
        <f t="shared" si="417"/>
        <v>-1320.8772225679584</v>
      </c>
      <c r="BJ247" s="22">
        <f>IF(U247&lt;0,PMT(BF247/12,Dane_kredytowe!F$13-SUM(AB$5:AB247)+1,BG247),0)</f>
        <v>-1914.1686581483873</v>
      </c>
      <c r="BL247" s="23">
        <f>BL$5+SUM(BN$5:BN246)+SUM(R$5:R246)-SUM(S$5:S246)</f>
        <v>161666.66666666689</v>
      </c>
      <c r="BM247" s="23">
        <f t="shared" si="418"/>
        <v>-979.08027777777897</v>
      </c>
      <c r="BN247" s="23">
        <f t="shared" si="234"/>
        <v>-833.33333333333451</v>
      </c>
      <c r="BO247" s="23">
        <f t="shared" si="419"/>
        <v>-1812.4136111111134</v>
      </c>
      <c r="BQ247" s="89">
        <f t="shared" si="420"/>
        <v>5.9373999999999996E-2</v>
      </c>
      <c r="BR247" s="23">
        <f>BR$5+SUM(BS$5:BS246)+SUM(R$5:R246)-SUM(S$5:S246)+SUM(BV$5:BV246)</f>
        <v>245171.84651925677</v>
      </c>
      <c r="BS247" s="22">
        <f t="shared" si="421"/>
        <v>-755.70820968959947</v>
      </c>
      <c r="BT247" s="22">
        <f t="shared" si="422"/>
        <v>-1213.0694346028624</v>
      </c>
      <c r="BU247" s="22">
        <f>IF(U247&lt;0,PMT(BQ247/12,Dane_kredytowe!F$13-SUM(AB$5:AB247)+1,BR247),0)</f>
        <v>-1968.7776442924619</v>
      </c>
      <c r="BV247" s="22">
        <f t="shared" si="243"/>
        <v>181.51635230602369</v>
      </c>
      <c r="BX247" s="23">
        <f>BX$5+SUM(BZ$5:BZ246)+SUM(R$5:R246)-SUM(S$5:S246)+SUM(CB$5,CB246)</f>
        <v>161451.56524505958</v>
      </c>
      <c r="BY247" s="22">
        <f t="shared" si="423"/>
        <v>-798.83543623834714</v>
      </c>
      <c r="BZ247" s="22">
        <f t="shared" si="237"/>
        <v>-832.22456311886378</v>
      </c>
      <c r="CA247" s="22">
        <f t="shared" si="424"/>
        <v>-1631.0599993572109</v>
      </c>
      <c r="CB247" s="22">
        <f t="shared" si="425"/>
        <v>-156.20129262922728</v>
      </c>
      <c r="CD247" s="22">
        <f>CD$5+SUM(CE$5:CE246)+SUM(R$5:R246)-SUM(S$5:S246)-SUM(CF$5:CF246)</f>
        <v>209868.87225616799</v>
      </c>
      <c r="CE247" s="22">
        <f t="shared" si="244"/>
        <v>798.83543623834714</v>
      </c>
      <c r="CF247" s="22">
        <f t="shared" si="238"/>
        <v>1787.2612919864382</v>
      </c>
      <c r="CG247" s="22">
        <f t="shared" si="245"/>
        <v>988.42585574809107</v>
      </c>
      <c r="CI247" s="89">
        <f t="shared" si="239"/>
        <v>0.17899999999999999</v>
      </c>
      <c r="CJ247" s="22">
        <f t="shared" si="240"/>
        <v>-319.92</v>
      </c>
      <c r="CK247" s="15">
        <f t="shared" si="246"/>
        <v>0</v>
      </c>
      <c r="CM247" s="22">
        <f t="shared" si="247"/>
        <v>-241650.15367992967</v>
      </c>
      <c r="CN247" s="15">
        <f t="shared" si="253"/>
        <v>-859.34822151144317</v>
      </c>
    </row>
    <row r="248" spans="1:92">
      <c r="A248" s="25"/>
      <c r="B248" s="80">
        <v>44652</v>
      </c>
      <c r="C248" s="81">
        <f t="shared" ref="C248" si="426">VLOOKUP(B248,Kursy,C$2)</f>
        <v>4.5475000000000003</v>
      </c>
      <c r="D248" s="82">
        <f t="shared" si="248"/>
        <v>4.6839250000000003</v>
      </c>
      <c r="E248" s="73">
        <f t="shared" ref="E248" si="427">Z248</f>
        <v>-373.17844592260116</v>
      </c>
      <c r="F248" s="19">
        <f t="shared" ref="F248" si="428">E248*D248</f>
        <v>-1747.9398523180198</v>
      </c>
      <c r="G248" s="19">
        <f t="shared" ref="G248" si="429">U248</f>
        <v>-1176.7926551197154</v>
      </c>
      <c r="H248" s="19">
        <f t="shared" ref="H248" si="430">G248-F248</f>
        <v>571.14719719830441</v>
      </c>
      <c r="I248" s="62"/>
      <c r="K248" s="15">
        <f>IF(B248&lt;=Dane_kredytowe!F$9,0,K247+1)</f>
        <v>168</v>
      </c>
      <c r="L248" s="83">
        <f t="shared" ref="L248" si="431">VLOOKUP(B248,Oproc,C$2)</f>
        <v>-7.7000000000000002E-3</v>
      </c>
      <c r="M248" s="84">
        <f>L248+Dane_kredytowe!F$12</f>
        <v>2.23E-2</v>
      </c>
      <c r="N248" s="79">
        <f>MAX(Dane_kredytowe!F$17+SUM(AA$5:AA247)-SUM(X$5:X248)+SUM(W$5:W248),0)</f>
        <v>60475.879362773914</v>
      </c>
      <c r="O248" s="85">
        <f>MAX(Dane_kredytowe!F$8+SUM(V$5:V247)-SUM(S$5:S248)+SUM(R$5:R247),0)</f>
        <v>190706.54112959883</v>
      </c>
      <c r="P248" s="67">
        <f t="shared" si="316"/>
        <v>360</v>
      </c>
      <c r="Q248" s="127" t="str">
        <f>IF(AND(K248&gt;0,K248&lt;=Dane_kredytowe!F$16),"tak","nie")</f>
        <v>nie</v>
      </c>
      <c r="R248" s="69"/>
      <c r="S248" s="86">
        <f>IF(Dane_kredytowe!F$19=B248,O247+V247,_xlfn.XLOOKUP(B248,Dane_kredytowe!M$9:M$18,Dane_kredytowe!N$9:N$18,0))</f>
        <v>0</v>
      </c>
      <c r="T248" s="71">
        <f t="shared" si="219"/>
        <v>-354.39632226583785</v>
      </c>
      <c r="U248" s="72">
        <f>IF(Q248="tak",T248,IF(P248-SUM(AB$5:AB248)+1&gt;0,IF(Dane_kredytowe!F$9&lt;B248,IF(SUM(AB$5:AB248)-Dane_kredytowe!F$16+1&gt;0,PMT(M248/12,P248+1-SUM(AB$5:AB248),O248),T248),0),0))</f>
        <v>-1176.7926551197154</v>
      </c>
      <c r="V248" s="72">
        <f t="shared" si="241"/>
        <v>-822.39633285387754</v>
      </c>
      <c r="W248" s="19" t="str">
        <f t="shared" si="242"/>
        <v xml:space="preserve"> </v>
      </c>
      <c r="X248" s="19">
        <f t="shared" si="266"/>
        <v>0</v>
      </c>
      <c r="Y248" s="73">
        <f t="shared" si="220"/>
        <v>-112.38434248248819</v>
      </c>
      <c r="Z248" s="19">
        <f>IF(P248-SUM(AB$5:AB248)+1&gt;0,IF(Dane_kredytowe!F$9&lt;B248,IF(SUM(AB$5:AB248)-Dane_kredytowe!F$16+1&gt;0,PMT(M248/12,P248+1-SUM(AB$5:AB248),N248),Y248),0),0)</f>
        <v>-373.17844592260116</v>
      </c>
      <c r="AA248" s="19">
        <f t="shared" ref="AA248" si="432">Z248-Y248</f>
        <v>-260.79410344011296</v>
      </c>
      <c r="AB248" s="20">
        <f>IF(AND(Dane_kredytowe!F$9&lt;B248,SUM(AB$5:AB247)&lt;P247),1," ")</f>
        <v>1</v>
      </c>
      <c r="AD248" s="75">
        <f>IF(OR(B248&lt;Dane_kredytowe!F$15,Dane_kredytowe!F$15=""),-F248+S248,0)</f>
        <v>0</v>
      </c>
      <c r="AE248" s="75">
        <f t="shared" si="221"/>
        <v>373.17844592260116</v>
      </c>
      <c r="AG248" s="22">
        <f>Dane_kredytowe!F$17-SUM(AI$5:AI247)+SUM(W$42:W248)-SUM(X$42:X248)</f>
        <v>51003.040000000008</v>
      </c>
      <c r="AH248" s="22">
        <f t="shared" si="222"/>
        <v>94.78</v>
      </c>
      <c r="AI248" s="22">
        <f t="shared" si="223"/>
        <v>264.26</v>
      </c>
      <c r="AJ248" s="22">
        <f t="shared" ref="AJ248" si="433">AI248+AH248</f>
        <v>359.03999999999996</v>
      </c>
      <c r="AK248" s="22">
        <f t="shared" si="224"/>
        <v>1681.72</v>
      </c>
      <c r="AL248" s="22">
        <f>Dane_kredytowe!F$8-SUM(AN$5:AN247)+SUM(R$42:R247)-SUM(S$42:S248)</f>
        <v>160833.64999999994</v>
      </c>
      <c r="AM248" s="22">
        <f t="shared" si="225"/>
        <v>298.88</v>
      </c>
      <c r="AN248" s="22">
        <f t="shared" si="226"/>
        <v>833.33</v>
      </c>
      <c r="AO248" s="22">
        <f t="shared" ref="AO248" si="434">AN248+AM248</f>
        <v>1132.21</v>
      </c>
      <c r="AP248" s="22">
        <f t="shared" ref="AP248" si="435">AK248-AO248</f>
        <v>549.51</v>
      </c>
      <c r="AR248" s="87">
        <f t="shared" si="227"/>
        <v>44652</v>
      </c>
      <c r="AS248" s="23">
        <f>AS$5+SUM(AV$5:AV247)-SUM(X$5:X248)+SUM(W$5:W248)</f>
        <v>88396.46849429814</v>
      </c>
      <c r="AT248" s="22">
        <f t="shared" si="228"/>
        <v>-164.27010395190405</v>
      </c>
      <c r="AU248" s="22">
        <f>IF(AB248=1,IF(Q248="tak",AT248,PMT(M248/12,P248+1-SUM(AB$5:AB248),AS248)),0)</f>
        <v>-545.46799625461915</v>
      </c>
      <c r="AV248" s="22">
        <f t="shared" ref="AV248" si="436">AU248-AT248</f>
        <v>-381.1978923027151</v>
      </c>
      <c r="AW248" s="22">
        <f t="shared" si="229"/>
        <v>-2480.515712967881</v>
      </c>
      <c r="AY248" s="23">
        <f>AY$5+SUM(BA$5:BA247)+SUM(W$5:W247)-SUM(X$5:X247)</f>
        <v>74549.181437842082</v>
      </c>
      <c r="AZ248" s="23">
        <f t="shared" si="230"/>
        <v>-164.27010395190405</v>
      </c>
      <c r="BA248" s="23">
        <f t="shared" si="231"/>
        <v>-386.27</v>
      </c>
      <c r="BB248" s="23">
        <f t="shared" ref="BB248" si="437">BA248+AZ248</f>
        <v>-550.54010395190403</v>
      </c>
      <c r="BC248" s="23">
        <f t="shared" si="232"/>
        <v>-2503.5811227212839</v>
      </c>
      <c r="BE248" s="88">
        <f t="shared" si="233"/>
        <v>5.4795000000000003E-2</v>
      </c>
      <c r="BF248" s="89">
        <f>BE248+Dane_kredytowe!F$12</f>
        <v>8.4795000000000009E-2</v>
      </c>
      <c r="BG248" s="23">
        <f>BG$5+SUM(BH$5:BH247)+SUM(R$5:R247)-SUM(S$5:S247)</f>
        <v>217511.21183677972</v>
      </c>
      <c r="BH248" s="22">
        <f t="shared" ref="BH248" si="438">IF(BJ248&lt;0,BJ248-BI248,0)</f>
        <v>-531.41408400713476</v>
      </c>
      <c r="BI248" s="22">
        <f t="shared" ref="BI248" si="439">IF(BJ248&lt;0,-BG248*BF248/12,0)</f>
        <v>-1536.9886006416448</v>
      </c>
      <c r="BJ248" s="22">
        <f>IF(U248&lt;0,PMT(BF248/12,Dane_kredytowe!F$13-SUM(AB$5:AB248)+1,BG248),0)</f>
        <v>-2068.4026846487795</v>
      </c>
      <c r="BL248" s="23">
        <f>BL$5+SUM(BN$5:BN247)+SUM(R$5:R247)-SUM(S$5:S247)</f>
        <v>160833.33333333355</v>
      </c>
      <c r="BM248" s="23">
        <f t="shared" ref="BM248" si="440">IF(AB248=1,-BF248*BL248/12,0)</f>
        <v>-1136.4885416666682</v>
      </c>
      <c r="BN248" s="23">
        <f t="shared" si="234"/>
        <v>-833.33333333333439</v>
      </c>
      <c r="BO248" s="23">
        <f t="shared" ref="BO248" si="441">BN248+BM248</f>
        <v>-1969.8218750000026</v>
      </c>
      <c r="BQ248" s="89">
        <f t="shared" ref="BQ248" si="442">BE248+$BQ$4</f>
        <v>7.1495000000000003E-2</v>
      </c>
      <c r="BR248" s="23">
        <f>BR$5+SUM(BS$5:BS247)+SUM(R$5:R247)-SUM(S$5:S247)+SUM(BV$5:BV247)</f>
        <v>244597.65466187318</v>
      </c>
      <c r="BS248" s="22">
        <f t="shared" ref="BS248" si="443">IF(BU248&lt;0,BU248-BT248,0)</f>
        <v>-678.74122091161507</v>
      </c>
      <c r="BT248" s="22">
        <f t="shared" ref="BT248" si="444">IF(BU248&lt;0,-BR248*BQ248/12,0)</f>
        <v>-1457.292443337552</v>
      </c>
      <c r="BU248" s="22">
        <f>IF(U248&lt;0,PMT(BQ248/12,Dane_kredytowe!F$13-SUM(AB$5:AB248)+1,BR248),0)</f>
        <v>-2136.033664249167</v>
      </c>
      <c r="BV248" s="22">
        <f t="shared" si="243"/>
        <v>388.09381193114723</v>
      </c>
      <c r="BX248" s="23">
        <f>BX$5+SUM(BZ$5:BZ247)+SUM(R$5:R247)-SUM(S$5:S247)+SUM(CB$5,CB247)</f>
        <v>160627.97877471044</v>
      </c>
      <c r="BY248" s="22">
        <f t="shared" ref="BY248" si="445">IF(AB248=1,-BQ248*BX248/12,0)</f>
        <v>-957.00811187482702</v>
      </c>
      <c r="BZ248" s="22">
        <f t="shared" si="237"/>
        <v>-832.26932007621986</v>
      </c>
      <c r="CA248" s="22">
        <f t="shared" ref="CA248" si="446">BZ248+BY248</f>
        <v>-1789.2774319510468</v>
      </c>
      <c r="CB248" s="22">
        <f t="shared" ref="CB248" si="447">$F248-CA248</f>
        <v>41.337579633026962</v>
      </c>
      <c r="CD248" s="22">
        <f>CD$5+SUM(CE$5:CE247)+SUM(R$5:R247)-SUM(S$5:S247)-SUM(CF$5:CF247)</f>
        <v>208880.44640041993</v>
      </c>
      <c r="CE248" s="22">
        <f t="shared" ref="CE248" si="448">IF(AB248=1,BQ248*BX248/12,0)</f>
        <v>957.00811187482702</v>
      </c>
      <c r="CF248" s="22">
        <f t="shared" si="238"/>
        <v>1747.9398523180198</v>
      </c>
      <c r="CG248" s="22">
        <f t="shared" ref="CG248" si="449">CF248-CE248</f>
        <v>790.93174044319278</v>
      </c>
      <c r="CI248" s="89">
        <f t="shared" si="239"/>
        <v>0.15590000000000001</v>
      </c>
      <c r="CJ248" s="22">
        <f t="shared" si="240"/>
        <v>-272.5</v>
      </c>
      <c r="CK248" s="15">
        <f t="shared" si="246"/>
        <v>0</v>
      </c>
      <c r="CM248" s="22">
        <f t="shared" si="247"/>
        <v>-243398.0935322477</v>
      </c>
      <c r="CN248" s="15">
        <f t="shared" si="253"/>
        <v>-1111.4165445916262</v>
      </c>
    </row>
    <row r="249" spans="1:92">
      <c r="A249" s="25"/>
      <c r="B249" s="80">
        <v>44682</v>
      </c>
      <c r="C249" s="81">
        <f t="shared" ref="C249:C251" si="450">VLOOKUP(B249,Kursy,C$2)</f>
        <v>4.4947999999999997</v>
      </c>
      <c r="D249" s="82">
        <f t="shared" si="248"/>
        <v>4.6296439999999999</v>
      </c>
      <c r="E249" s="73">
        <f t="shared" ref="E249:E251" si="451">Z249</f>
        <v>-373.17844592260116</v>
      </c>
      <c r="F249" s="19">
        <f t="shared" ref="F249:F251" si="452">E249*D249</f>
        <v>-1727.6833530948948</v>
      </c>
      <c r="G249" s="19">
        <f t="shared" ref="G249:G251" si="453">U249</f>
        <v>-1176.7926551197154</v>
      </c>
      <c r="H249" s="19">
        <f t="shared" ref="H249:H251" si="454">G249-F249</f>
        <v>550.89069797517936</v>
      </c>
      <c r="I249" s="62"/>
      <c r="K249" s="15">
        <f>IF(B249&lt;=Dane_kredytowe!F$9,0,K248+1)</f>
        <v>169</v>
      </c>
      <c r="L249" s="83">
        <f t="shared" ref="L249:L251" si="455">VLOOKUP(B249,Oproc,C$2)</f>
        <v>-7.7000000000000002E-3</v>
      </c>
      <c r="M249" s="84">
        <f>L249+Dane_kredytowe!F$12</f>
        <v>2.23E-2</v>
      </c>
      <c r="N249" s="79">
        <f>MAX(Dane_kredytowe!F$17+SUM(AA$5:AA248)-SUM(X$5:X249)+SUM(W$5:W249),0)</f>
        <v>60215.085259333799</v>
      </c>
      <c r="O249" s="85">
        <f>MAX(Dane_kredytowe!F$8+SUM(V$5:V248)-SUM(S$5:S249)+SUM(R$5:R248),0)</f>
        <v>189884.14479674495</v>
      </c>
      <c r="P249" s="67">
        <f t="shared" si="316"/>
        <v>360</v>
      </c>
      <c r="Q249" s="127" t="str">
        <f>IF(AND(K249&gt;0,K249&lt;=Dane_kredytowe!F$16),"tak","nie")</f>
        <v>nie</v>
      </c>
      <c r="R249" s="69"/>
      <c r="S249" s="86">
        <f>IF(Dane_kredytowe!F$19=B249,O248+V248,_xlfn.XLOOKUP(B249,Dane_kredytowe!M$9:M$18,Dane_kredytowe!N$9:N$18,0))</f>
        <v>0</v>
      </c>
      <c r="T249" s="71">
        <f t="shared" si="219"/>
        <v>-352.86803574728441</v>
      </c>
      <c r="U249" s="72">
        <f>IF(Q249="tak",T249,IF(P249-SUM(AB$5:AB249)+1&gt;0,IF(Dane_kredytowe!F$9&lt;B249,IF(SUM(AB$5:AB249)-Dane_kredytowe!F$16+1&gt;0,PMT(M249/12,P249+1-SUM(AB$5:AB249),O249),T249),0),0))</f>
        <v>-1176.7926551197154</v>
      </c>
      <c r="V249" s="72">
        <f t="shared" si="241"/>
        <v>-823.92461937243093</v>
      </c>
      <c r="W249" s="19" t="str">
        <f t="shared" si="242"/>
        <v xml:space="preserve"> </v>
      </c>
      <c r="X249" s="19">
        <f t="shared" si="266"/>
        <v>0</v>
      </c>
      <c r="Y249" s="73">
        <f t="shared" si="220"/>
        <v>-111.89970010692865</v>
      </c>
      <c r="Z249" s="19">
        <f>IF(P249-SUM(AB$5:AB249)+1&gt;0,IF(Dane_kredytowe!F$9&lt;B249,IF(SUM(AB$5:AB249)-Dane_kredytowe!F$16+1&gt;0,PMT(M249/12,P249+1-SUM(AB$5:AB249),N249),Y249),0),0)</f>
        <v>-373.17844592260116</v>
      </c>
      <c r="AA249" s="19">
        <f t="shared" ref="AA249:AA251" si="456">Z249-Y249</f>
        <v>-261.27874581567249</v>
      </c>
      <c r="AB249" s="20">
        <f>IF(AND(Dane_kredytowe!F$9&lt;B249,SUM(AB$5:AB248)&lt;P248),1," ")</f>
        <v>1</v>
      </c>
      <c r="AD249" s="75">
        <f>IF(OR(B249&lt;Dane_kredytowe!F$15,Dane_kredytowe!F$15=""),-F249+S249,0)</f>
        <v>0</v>
      </c>
      <c r="AE249" s="75">
        <f t="shared" si="221"/>
        <v>373.17844592260116</v>
      </c>
      <c r="AG249" s="22">
        <f>Dane_kredytowe!F$17-SUM(AI$5:AI248)+SUM(W$42:W249)-SUM(X$42:X249)</f>
        <v>50738.780000000006</v>
      </c>
      <c r="AH249" s="22">
        <f t="shared" si="222"/>
        <v>94.29</v>
      </c>
      <c r="AI249" s="22">
        <f t="shared" si="223"/>
        <v>264.26</v>
      </c>
      <c r="AJ249" s="22">
        <f t="shared" ref="AJ249:AJ251" si="457">AI249+AH249</f>
        <v>358.55</v>
      </c>
      <c r="AK249" s="22">
        <f t="shared" si="224"/>
        <v>1659.96</v>
      </c>
      <c r="AL249" s="22">
        <f>Dane_kredytowe!F$8-SUM(AN$5:AN248)+SUM(R$42:R248)-SUM(S$42:S249)</f>
        <v>160000.31999999995</v>
      </c>
      <c r="AM249" s="22">
        <f t="shared" si="225"/>
        <v>297.33</v>
      </c>
      <c r="AN249" s="22">
        <f t="shared" si="226"/>
        <v>833.34</v>
      </c>
      <c r="AO249" s="22">
        <f t="shared" ref="AO249:AO251" si="458">AN249+AM249</f>
        <v>1130.67</v>
      </c>
      <c r="AP249" s="22">
        <f t="shared" ref="AP249:AP251" si="459">AK249-AO249</f>
        <v>529.29</v>
      </c>
      <c r="AR249" s="87">
        <f t="shared" si="227"/>
        <v>44682</v>
      </c>
      <c r="AS249" s="23">
        <f>AS$5+SUM(AV$5:AV248)-SUM(X$5:X249)+SUM(W$5:W249)</f>
        <v>88015.270601995435</v>
      </c>
      <c r="AT249" s="22">
        <f t="shared" si="228"/>
        <v>-163.56171120204152</v>
      </c>
      <c r="AU249" s="22">
        <f>IF(AB249=1,IF(Q249="tak",AT249,PMT(M249/12,P249+1-SUM(AB$5:AB249),AS249)),0)</f>
        <v>-545.46799625461915</v>
      </c>
      <c r="AV249" s="22">
        <f t="shared" ref="AV249:AV251" si="460">AU249-AT249</f>
        <v>-381.90628505257763</v>
      </c>
      <c r="AW249" s="22">
        <f t="shared" si="229"/>
        <v>-2451.769549565262</v>
      </c>
      <c r="AY249" s="23">
        <f>AY$5+SUM(BA$5:BA248)+SUM(W$5:W248)-SUM(X$5:X248)</f>
        <v>74162.911437842093</v>
      </c>
      <c r="AZ249" s="23">
        <f t="shared" si="230"/>
        <v>-163.56171120204152</v>
      </c>
      <c r="BA249" s="23">
        <f t="shared" si="231"/>
        <v>-386.27</v>
      </c>
      <c r="BB249" s="23">
        <f t="shared" ref="BB249:BB251" si="461">BA249+AZ249</f>
        <v>-549.83171120204156</v>
      </c>
      <c r="BC249" s="23">
        <f t="shared" si="232"/>
        <v>-2471.3835755109362</v>
      </c>
      <c r="BE249" s="88">
        <f t="shared" si="233"/>
        <v>6.4199999999999993E-2</v>
      </c>
      <c r="BF249" s="89">
        <f>BE249+Dane_kredytowe!F$12</f>
        <v>9.4199999999999992E-2</v>
      </c>
      <c r="BG249" s="23">
        <f>BG$5+SUM(BH$5:BH248)+SUM(R$5:R248)-SUM(S$5:S248)</f>
        <v>216979.7977527726</v>
      </c>
      <c r="BH249" s="22">
        <f t="shared" ref="BH249:BH251" si="462">IF(BJ249&lt;0,BJ249-BI249,0)</f>
        <v>-488.38686504616612</v>
      </c>
      <c r="BI249" s="22">
        <f t="shared" ref="BI249:BI251" si="463">IF(BJ249&lt;0,-BG249*BF249/12,0)</f>
        <v>-1703.2914123592648</v>
      </c>
      <c r="BJ249" s="22">
        <f>IF(U249&lt;0,PMT(BF249/12,Dane_kredytowe!F$13-SUM(AB$5:AB249)+1,BG249),0)</f>
        <v>-2191.6782774054309</v>
      </c>
      <c r="BL249" s="23">
        <f>BL$5+SUM(BN$5:BN248)+SUM(R$5:R248)-SUM(S$5:S248)</f>
        <v>160000.0000000002</v>
      </c>
      <c r="BM249" s="23">
        <f t="shared" ref="BM249:BM251" si="464">IF(AB249=1,-BF249*BL249/12,0)</f>
        <v>-1256.0000000000016</v>
      </c>
      <c r="BN249" s="23">
        <f t="shared" si="234"/>
        <v>-833.33333333333439</v>
      </c>
      <c r="BO249" s="23">
        <f t="shared" ref="BO249:BO251" si="465">BN249+BM249</f>
        <v>-2089.3333333333358</v>
      </c>
      <c r="BQ249" s="89">
        <f t="shared" ref="BQ249:BQ251" si="466">BE249+$BQ$4</f>
        <v>8.09E-2</v>
      </c>
      <c r="BR249" s="23">
        <f>BR$5+SUM(BS$5:BS248)+SUM(R$5:R248)-SUM(S$5:S248)+SUM(BV$5:BV248)</f>
        <v>244307.00725289271</v>
      </c>
      <c r="BS249" s="22">
        <f t="shared" ref="BS249:BS251" si="467">IF(BU249&lt;0,BU249-BT249,0)</f>
        <v>-625.53815847604051</v>
      </c>
      <c r="BT249" s="22">
        <f t="shared" ref="BT249:BT251" si="468">IF(BU249&lt;0,-BR249*BQ249/12,0)</f>
        <v>-1647.0364072299183</v>
      </c>
      <c r="BU249" s="22">
        <f>IF(U249&lt;0,PMT(BQ249/12,Dane_kredytowe!F$13-SUM(AB$5:AB249)+1,BR249),0)</f>
        <v>-2272.5745657059588</v>
      </c>
      <c r="BV249" s="22">
        <f t="shared" si="243"/>
        <v>544.89121261106402</v>
      </c>
      <c r="BX249" s="23">
        <f>BX$5+SUM(BZ$5:BZ248)+SUM(R$5:R248)-SUM(S$5:S248)+SUM(CB$5,CB248)</f>
        <v>159993.24832689649</v>
      </c>
      <c r="BY249" s="22">
        <f t="shared" ref="BY249:BY251" si="469">IF(AB249=1,-BQ249*BX249/12,0)</f>
        <v>-1078.6211491371605</v>
      </c>
      <c r="BZ249" s="22">
        <f t="shared" si="237"/>
        <v>-833.29816836925249</v>
      </c>
      <c r="CA249" s="22">
        <f t="shared" ref="CA249:CA251" si="470">BZ249+BY249</f>
        <v>-1911.9193175064129</v>
      </c>
      <c r="CB249" s="22">
        <f t="shared" ref="CB249:CB251" si="471">$F249-CA249</f>
        <v>184.23596441151813</v>
      </c>
      <c r="CD249" s="22">
        <f>CD$5+SUM(CE$5:CE248)+SUM(R$5:R248)-SUM(S$5:S248)-SUM(CF$5:CF248)</f>
        <v>208089.5146599767</v>
      </c>
      <c r="CE249" s="22">
        <f t="shared" ref="CE249:CE251" si="472">IF(AB249=1,BQ249*BX249/12,0)</f>
        <v>1078.6211491371605</v>
      </c>
      <c r="CF249" s="22">
        <f t="shared" si="238"/>
        <v>1727.6833530948948</v>
      </c>
      <c r="CG249" s="22">
        <f t="shared" ref="CG249:CG251" si="473">CF249-CE249</f>
        <v>649.06220395773425</v>
      </c>
      <c r="CI249" s="89">
        <f t="shared" si="239"/>
        <v>0.1366</v>
      </c>
      <c r="CJ249" s="22">
        <f t="shared" si="240"/>
        <v>-236</v>
      </c>
      <c r="CK249" s="15">
        <f t="shared" si="246"/>
        <v>0</v>
      </c>
      <c r="CM249" s="22">
        <f t="shared" si="247"/>
        <v>-245125.77688534261</v>
      </c>
      <c r="CN249" s="15">
        <f t="shared" si="253"/>
        <v>-1311.4229063365829</v>
      </c>
    </row>
    <row r="250" spans="1:92">
      <c r="A250" s="25"/>
      <c r="B250" s="80">
        <v>44713</v>
      </c>
      <c r="C250" s="81">
        <f t="shared" si="450"/>
        <v>4.5289999999999999</v>
      </c>
      <c r="D250" s="82">
        <f t="shared" si="248"/>
        <v>4.6648699999999996</v>
      </c>
      <c r="E250" s="73">
        <f t="shared" si="451"/>
        <v>-373.17844592260116</v>
      </c>
      <c r="F250" s="19">
        <f t="shared" si="452"/>
        <v>-1740.8289370309644</v>
      </c>
      <c r="G250" s="19">
        <f t="shared" si="453"/>
        <v>-1176.7926551197154</v>
      </c>
      <c r="H250" s="19">
        <f t="shared" si="454"/>
        <v>564.03628191124903</v>
      </c>
      <c r="I250" s="62"/>
      <c r="K250" s="15">
        <f>IF(B250&lt;=Dane_kredytowe!F$9,0,K249+1)</f>
        <v>170</v>
      </c>
      <c r="L250" s="83">
        <f t="shared" si="455"/>
        <v>-7.7000000000000002E-3</v>
      </c>
      <c r="M250" s="84">
        <f>L250+Dane_kredytowe!F$12</f>
        <v>2.23E-2</v>
      </c>
      <c r="N250" s="79">
        <f>MAX(Dane_kredytowe!F$17+SUM(AA$5:AA249)-SUM(X$5:X250)+SUM(W$5:W250),0)</f>
        <v>59953.806513518124</v>
      </c>
      <c r="O250" s="85">
        <f>MAX(Dane_kredytowe!F$8+SUM(V$5:V249)-SUM(S$5:S250)+SUM(R$5:R249),0)</f>
        <v>189060.22017737251</v>
      </c>
      <c r="P250" s="67">
        <f t="shared" si="316"/>
        <v>360</v>
      </c>
      <c r="Q250" s="127" t="str">
        <f>IF(AND(K250&gt;0,K250&lt;=Dane_kredytowe!F$16),"tak","nie")</f>
        <v>nie</v>
      </c>
      <c r="R250" s="69"/>
      <c r="S250" s="86">
        <f>IF(Dane_kredytowe!F$19=B250,O249+V249,_xlfn.XLOOKUP(B250,Dane_kredytowe!M$9:M$18,Dane_kredytowe!N$9:N$18,0))</f>
        <v>0</v>
      </c>
      <c r="T250" s="71">
        <f t="shared" si="219"/>
        <v>-351.33690916295058</v>
      </c>
      <c r="U250" s="72">
        <f>IF(Q250="tak",T250,IF(P250-SUM(AB$5:AB250)+1&gt;0,IF(Dane_kredytowe!F$9&lt;B250,IF(SUM(AB$5:AB250)-Dane_kredytowe!F$16+1&gt;0,PMT(M250/12,P250+1-SUM(AB$5:AB250),O250),T250),0),0))</f>
        <v>-1176.7926551197154</v>
      </c>
      <c r="V250" s="72">
        <f t="shared" si="241"/>
        <v>-825.45574595676476</v>
      </c>
      <c r="W250" s="19" t="str">
        <f t="shared" si="242"/>
        <v xml:space="preserve"> </v>
      </c>
      <c r="X250" s="19">
        <f t="shared" si="266"/>
        <v>0</v>
      </c>
      <c r="Y250" s="73">
        <f t="shared" si="220"/>
        <v>-111.41415710428784</v>
      </c>
      <c r="Z250" s="19">
        <f>IF(P250-SUM(AB$5:AB250)+1&gt;0,IF(Dane_kredytowe!F$9&lt;B250,IF(SUM(AB$5:AB250)-Dane_kredytowe!F$16+1&gt;0,PMT(M250/12,P250+1-SUM(AB$5:AB250),N250),Y250),0),0)</f>
        <v>-373.17844592260116</v>
      </c>
      <c r="AA250" s="19">
        <f t="shared" si="456"/>
        <v>-261.76428881831333</v>
      </c>
      <c r="AB250" s="20">
        <f>IF(AND(Dane_kredytowe!F$9&lt;B250,SUM(AB$5:AB249)&lt;P249),1," ")</f>
        <v>1</v>
      </c>
      <c r="AD250" s="75">
        <f>IF(OR(B250&lt;Dane_kredytowe!F$15,Dane_kredytowe!F$15=""),-F250+S250,0)</f>
        <v>0</v>
      </c>
      <c r="AE250" s="75">
        <f t="shared" si="221"/>
        <v>373.17844592260116</v>
      </c>
      <c r="AG250" s="22">
        <f>Dane_kredytowe!F$17-SUM(AI$5:AI249)+SUM(W$42:W250)-SUM(X$42:X250)</f>
        <v>50474.520000000004</v>
      </c>
      <c r="AH250" s="22">
        <f t="shared" si="222"/>
        <v>93.8</v>
      </c>
      <c r="AI250" s="22">
        <f t="shared" si="223"/>
        <v>264.26</v>
      </c>
      <c r="AJ250" s="22">
        <f t="shared" si="457"/>
        <v>358.06</v>
      </c>
      <c r="AK250" s="22">
        <f t="shared" si="224"/>
        <v>1670.3</v>
      </c>
      <c r="AL250" s="22">
        <f>Dane_kredytowe!F$8-SUM(AN$5:AN249)+SUM(R$42:R249)-SUM(S$42:S250)</f>
        <v>159166.97999999995</v>
      </c>
      <c r="AM250" s="22">
        <f t="shared" si="225"/>
        <v>295.79000000000002</v>
      </c>
      <c r="AN250" s="22">
        <f t="shared" si="226"/>
        <v>833.33</v>
      </c>
      <c r="AO250" s="22">
        <f t="shared" si="458"/>
        <v>1129.1200000000001</v>
      </c>
      <c r="AP250" s="22">
        <f t="shared" si="459"/>
        <v>541.17999999999984</v>
      </c>
      <c r="AR250" s="87">
        <f t="shared" si="227"/>
        <v>44713</v>
      </c>
      <c r="AS250" s="23">
        <f>AS$5+SUM(AV$5:AV249)-SUM(X$5:X250)+SUM(W$5:W250)</f>
        <v>87633.36431694284</v>
      </c>
      <c r="AT250" s="22">
        <f t="shared" si="228"/>
        <v>-162.85200202231877</v>
      </c>
      <c r="AU250" s="22">
        <f>IF(AB250=1,IF(Q250="tak",AT250,PMT(M250/12,P250+1-SUM(AB$5:AB250),AS250)),0)</f>
        <v>-545.46799625461904</v>
      </c>
      <c r="AV250" s="22">
        <f t="shared" si="460"/>
        <v>-382.6159942323003</v>
      </c>
      <c r="AW250" s="22">
        <f t="shared" si="229"/>
        <v>-2470.4245550371697</v>
      </c>
      <c r="AY250" s="23">
        <f>AY$5+SUM(BA$5:BA249)+SUM(W$5:W249)-SUM(X$5:X249)</f>
        <v>73776.641437842089</v>
      </c>
      <c r="AZ250" s="23">
        <f t="shared" si="230"/>
        <v>-162.85200202231877</v>
      </c>
      <c r="BA250" s="23">
        <f t="shared" si="231"/>
        <v>-386.27</v>
      </c>
      <c r="BB250" s="23">
        <f t="shared" si="461"/>
        <v>-549.12200202231872</v>
      </c>
      <c r="BC250" s="23">
        <f t="shared" si="232"/>
        <v>-2486.9735471590816</v>
      </c>
      <c r="BE250" s="88">
        <f t="shared" si="233"/>
        <v>6.8500000000000005E-2</v>
      </c>
      <c r="BF250" s="89">
        <f>BE250+Dane_kredytowe!F$12</f>
        <v>9.8500000000000004E-2</v>
      </c>
      <c r="BG250" s="23">
        <f>BG$5+SUM(BH$5:BH249)+SUM(R$5:R249)-SUM(S$5:S249)</f>
        <v>216491.41088772644</v>
      </c>
      <c r="BH250" s="22">
        <f t="shared" si="462"/>
        <v>-471.93115992313574</v>
      </c>
      <c r="BI250" s="22">
        <f t="shared" si="463"/>
        <v>-1777.0336643700878</v>
      </c>
      <c r="BJ250" s="22">
        <f>IF(U250&lt;0,PMT(BF250/12,Dane_kredytowe!F$13-SUM(AB$5:AB250)+1,BG250),0)</f>
        <v>-2248.9648242932235</v>
      </c>
      <c r="BL250" s="23">
        <f>BL$5+SUM(BN$5:BN249)+SUM(R$5:R249)-SUM(S$5:S249)</f>
        <v>159166.66666666686</v>
      </c>
      <c r="BM250" s="23">
        <f t="shared" si="464"/>
        <v>-1306.4930555555572</v>
      </c>
      <c r="BN250" s="23">
        <f t="shared" si="234"/>
        <v>-833.33333333333439</v>
      </c>
      <c r="BO250" s="23">
        <f t="shared" si="465"/>
        <v>-2139.8263888888914</v>
      </c>
      <c r="BQ250" s="89">
        <f t="shared" si="466"/>
        <v>8.5199999999999998E-2</v>
      </c>
      <c r="BR250" s="23">
        <f>BR$5+SUM(BS$5:BS249)+SUM(R$5:R249)-SUM(S$5:S249)+SUM(BV$5:BV249)</f>
        <v>244226.36030702773</v>
      </c>
      <c r="BS250" s="22">
        <f t="shared" si="467"/>
        <v>-605.77170414857687</v>
      </c>
      <c r="BT250" s="22">
        <f t="shared" si="468"/>
        <v>-1734.0071581798968</v>
      </c>
      <c r="BU250" s="22">
        <f>IF(U250&lt;0,PMT(BQ250/12,Dane_kredytowe!F$13-SUM(AB$5:AB250)+1,BR250),0)</f>
        <v>-2339.7788623284737</v>
      </c>
      <c r="BV250" s="22">
        <f t="shared" si="243"/>
        <v>598.94992529750925</v>
      </c>
      <c r="BX250" s="23">
        <f>BX$5+SUM(BZ$5:BZ249)+SUM(R$5:R249)-SUM(S$5:S249)+SUM(CB$5,CB249)</f>
        <v>159302.84854330574</v>
      </c>
      <c r="BY250" s="22">
        <f t="shared" si="469"/>
        <v>-1131.0502246574708</v>
      </c>
      <c r="BZ250" s="22">
        <f t="shared" si="237"/>
        <v>-834.04632745186245</v>
      </c>
      <c r="CA250" s="22">
        <f t="shared" si="470"/>
        <v>-1965.0965521093333</v>
      </c>
      <c r="CB250" s="22">
        <f t="shared" si="471"/>
        <v>224.26761507836886</v>
      </c>
      <c r="CD250" s="22">
        <f>CD$5+SUM(CE$5:CE249)+SUM(R$5:R249)-SUM(S$5:S249)-SUM(CF$5:CF249)</f>
        <v>207440.45245601895</v>
      </c>
      <c r="CE250" s="22">
        <f t="shared" si="472"/>
        <v>1131.0502246574708</v>
      </c>
      <c r="CF250" s="22">
        <f t="shared" si="238"/>
        <v>1740.8289370309644</v>
      </c>
      <c r="CG250" s="22">
        <f t="shared" si="473"/>
        <v>609.77871237349359</v>
      </c>
      <c r="CI250" s="89">
        <f t="shared" si="239"/>
        <v>0.1198</v>
      </c>
      <c r="CJ250" s="22">
        <f t="shared" si="240"/>
        <v>-208.55</v>
      </c>
      <c r="CK250" s="15">
        <f t="shared" si="246"/>
        <v>0</v>
      </c>
      <c r="CM250" s="22">
        <f t="shared" si="247"/>
        <v>-246866.60582237356</v>
      </c>
      <c r="CN250" s="15">
        <f t="shared" si="253"/>
        <v>-1409.1968749027158</v>
      </c>
    </row>
    <row r="251" spans="1:92">
      <c r="A251" s="25"/>
      <c r="B251" s="80">
        <v>44743</v>
      </c>
      <c r="C251" s="81">
        <f t="shared" si="450"/>
        <v>4.8337000000000003</v>
      </c>
      <c r="D251" s="82">
        <f t="shared" si="248"/>
        <v>4.9787110000000006</v>
      </c>
      <c r="E251" s="73">
        <f t="shared" si="451"/>
        <v>-373.17844592260116</v>
      </c>
      <c r="F251" s="19">
        <f t="shared" si="452"/>
        <v>-1857.9476336777598</v>
      </c>
      <c r="G251" s="19">
        <f t="shared" si="453"/>
        <v>-1176.7926551197154</v>
      </c>
      <c r="H251" s="19">
        <f t="shared" si="454"/>
        <v>681.15497855804438</v>
      </c>
      <c r="I251" s="62"/>
      <c r="K251" s="15">
        <f>IF(B251&lt;=Dane_kredytowe!F$9,0,K250+1)</f>
        <v>171</v>
      </c>
      <c r="L251" s="83">
        <f t="shared" si="455"/>
        <v>-7.7000000000000002E-3</v>
      </c>
      <c r="M251" s="84">
        <f>L251+Dane_kredytowe!F$12</f>
        <v>2.23E-2</v>
      </c>
      <c r="N251" s="79">
        <f>MAX(Dane_kredytowe!F$17+SUM(AA$5:AA250)-SUM(X$5:X251)+SUM(W$5:W251),0)</f>
        <v>59692.042224699813</v>
      </c>
      <c r="O251" s="85">
        <f>MAX(Dane_kredytowe!F$8+SUM(V$5:V250)-SUM(S$5:S251)+SUM(R$5:R250),0)</f>
        <v>188234.76443141577</v>
      </c>
      <c r="P251" s="67">
        <f t="shared" si="316"/>
        <v>360</v>
      </c>
      <c r="Q251" s="127" t="str">
        <f>IF(AND(K251&gt;0,K251&lt;=Dane_kredytowe!F$16),"tak","nie")</f>
        <v>nie</v>
      </c>
      <c r="R251" s="69"/>
      <c r="S251" s="86">
        <f>IF(Dane_kredytowe!F$19=B251,O250+V250,_xlfn.XLOOKUP(B251,Dane_kredytowe!M$9:M$18,Dane_kredytowe!N$9:N$18,0))</f>
        <v>0</v>
      </c>
      <c r="T251" s="71">
        <f t="shared" si="219"/>
        <v>-349.80293723504764</v>
      </c>
      <c r="U251" s="72">
        <f>IF(Q251="tak",T251,IF(P251-SUM(AB$5:AB251)+1&gt;0,IF(Dane_kredytowe!F$9&lt;B251,IF(SUM(AB$5:AB251)-Dane_kredytowe!F$16+1&gt;0,PMT(M251/12,P251+1-SUM(AB$5:AB251),O251),T251),0),0))</f>
        <v>-1176.7926551197154</v>
      </c>
      <c r="V251" s="72">
        <f t="shared" si="241"/>
        <v>-826.9897178846677</v>
      </c>
      <c r="W251" s="19" t="str">
        <f t="shared" si="242"/>
        <v xml:space="preserve"> </v>
      </c>
      <c r="X251" s="19">
        <f t="shared" si="266"/>
        <v>0</v>
      </c>
      <c r="Y251" s="73">
        <f t="shared" si="220"/>
        <v>-110.9277118009005</v>
      </c>
      <c r="Z251" s="19">
        <f>IF(P251-SUM(AB$5:AB251)+1&gt;0,IF(Dane_kredytowe!F$9&lt;B251,IF(SUM(AB$5:AB251)-Dane_kredytowe!F$16+1&gt;0,PMT(M251/12,P251+1-SUM(AB$5:AB251),N251),Y251),0),0)</f>
        <v>-373.17844592260116</v>
      </c>
      <c r="AA251" s="19">
        <f t="shared" si="456"/>
        <v>-262.25073412170065</v>
      </c>
      <c r="AB251" s="20">
        <f>IF(AND(Dane_kredytowe!F$9&lt;B251,SUM(AB$5:AB250)&lt;P250),1," ")</f>
        <v>1</v>
      </c>
      <c r="AD251" s="75">
        <f>IF(OR(B251&lt;Dane_kredytowe!F$15,Dane_kredytowe!F$15=""),-F251+S251,0)</f>
        <v>0</v>
      </c>
      <c r="AE251" s="75">
        <f t="shared" si="221"/>
        <v>373.17844592260116</v>
      </c>
      <c r="AG251" s="22">
        <f>Dane_kredytowe!F$17-SUM(AI$5:AI250)+SUM(W$42:W251)-SUM(X$42:X251)</f>
        <v>50210.26</v>
      </c>
      <c r="AH251" s="22">
        <f t="shared" si="222"/>
        <v>93.31</v>
      </c>
      <c r="AI251" s="22">
        <f t="shared" si="223"/>
        <v>264.26</v>
      </c>
      <c r="AJ251" s="22">
        <f t="shared" si="457"/>
        <v>357.57</v>
      </c>
      <c r="AK251" s="22">
        <f t="shared" si="224"/>
        <v>1780.24</v>
      </c>
      <c r="AL251" s="22">
        <f>Dane_kredytowe!F$8-SUM(AN$5:AN250)+SUM(R$42:R250)-SUM(S$42:S251)</f>
        <v>158333.64999999997</v>
      </c>
      <c r="AM251" s="22">
        <f t="shared" si="225"/>
        <v>294.24</v>
      </c>
      <c r="AN251" s="22">
        <f t="shared" si="226"/>
        <v>833.34</v>
      </c>
      <c r="AO251" s="22">
        <f t="shared" si="458"/>
        <v>1127.58</v>
      </c>
      <c r="AP251" s="22">
        <f t="shared" si="459"/>
        <v>652.66000000000008</v>
      </c>
      <c r="AR251" s="87">
        <f t="shared" si="227"/>
        <v>44743</v>
      </c>
      <c r="AS251" s="23">
        <f>AS$5+SUM(AV$5:AV250)-SUM(X$5:X251)+SUM(W$5:W251)</f>
        <v>87250.74832271054</v>
      </c>
      <c r="AT251" s="22">
        <f t="shared" si="228"/>
        <v>-162.14097396637041</v>
      </c>
      <c r="AU251" s="22">
        <f>IF(AB251=1,IF(Q251="tak",AT251,PMT(M251/12,P251+1-SUM(AB$5:AB251),AS251)),0)</f>
        <v>-545.46799625461904</v>
      </c>
      <c r="AV251" s="22">
        <f t="shared" si="460"/>
        <v>-383.3270222882486</v>
      </c>
      <c r="AW251" s="22">
        <f t="shared" si="229"/>
        <v>-2636.6286534959522</v>
      </c>
      <c r="AY251" s="23">
        <f>AY$5+SUM(BA$5:BA250)+SUM(W$5:W250)-SUM(X$5:X250)</f>
        <v>73390.371437842085</v>
      </c>
      <c r="AZ251" s="23">
        <f t="shared" si="230"/>
        <v>-162.14097396637041</v>
      </c>
      <c r="BA251" s="23">
        <f t="shared" si="231"/>
        <v>-386.27</v>
      </c>
      <c r="BB251" s="23">
        <f t="shared" si="461"/>
        <v>-548.41097396637042</v>
      </c>
      <c r="BC251" s="23">
        <f t="shared" si="232"/>
        <v>-2650.8541248612451</v>
      </c>
      <c r="BE251" s="88">
        <f t="shared" si="233"/>
        <v>7.0499999999999993E-2</v>
      </c>
      <c r="BF251" s="89">
        <f>BE251+Dane_kredytowe!F$12</f>
        <v>0.10049999999999999</v>
      </c>
      <c r="BG251" s="23">
        <f>BG$5+SUM(BH$5:BH250)+SUM(R$5:R250)-SUM(S$5:S250)</f>
        <v>216019.47972780332</v>
      </c>
      <c r="BH251" s="22">
        <f t="shared" si="462"/>
        <v>-466.58518041634966</v>
      </c>
      <c r="BI251" s="22">
        <f t="shared" si="463"/>
        <v>-1809.1631427203527</v>
      </c>
      <c r="BJ251" s="22">
        <f>IF(U251&lt;0,PMT(BF251/12,Dane_kredytowe!F$13-SUM(AB$5:AB251)+1,BG251),0)</f>
        <v>-2275.7483231367023</v>
      </c>
      <c r="BL251" s="23">
        <f>BL$5+SUM(BN$5:BN250)+SUM(R$5:R250)-SUM(S$5:S250)</f>
        <v>158333.33333333352</v>
      </c>
      <c r="BM251" s="23">
        <f t="shared" si="464"/>
        <v>-1326.0416666666681</v>
      </c>
      <c r="BN251" s="23">
        <f t="shared" si="234"/>
        <v>-833.33333333333428</v>
      </c>
      <c r="BO251" s="23">
        <f t="shared" si="465"/>
        <v>-2159.3750000000023</v>
      </c>
      <c r="BQ251" s="89">
        <f t="shared" si="466"/>
        <v>8.72E-2</v>
      </c>
      <c r="BR251" s="23">
        <f>BR$5+SUM(BS$5:BS250)+SUM(R$5:R250)-SUM(S$5:S250)+SUM(BV$5:BV250)</f>
        <v>244219.53852817666</v>
      </c>
      <c r="BS251" s="22">
        <f t="shared" si="467"/>
        <v>-600.00506793767181</v>
      </c>
      <c r="BT251" s="22">
        <f t="shared" si="468"/>
        <v>-1774.6619799714172</v>
      </c>
      <c r="BU251" s="22">
        <f>IF(U251&lt;0,PMT(BQ251/12,Dane_kredytowe!F$13-SUM(AB$5:AB251)+1,BR251),0)</f>
        <v>-2374.667047909089</v>
      </c>
      <c r="BV251" s="22">
        <f t="shared" si="243"/>
        <v>516.71941423132921</v>
      </c>
      <c r="BX251" s="23">
        <f>BX$5+SUM(BZ$5:BZ250)+SUM(R$5:R250)-SUM(S$5:S250)+SUM(CB$5,CB250)</f>
        <v>158508.83386652073</v>
      </c>
      <c r="BY251" s="22">
        <f t="shared" si="469"/>
        <v>-1151.8308594300506</v>
      </c>
      <c r="BZ251" s="22">
        <f t="shared" si="237"/>
        <v>-834.25702035010909</v>
      </c>
      <c r="CA251" s="22">
        <f t="shared" si="470"/>
        <v>-1986.0878797801597</v>
      </c>
      <c r="CB251" s="22">
        <f t="shared" si="471"/>
        <v>128.14024610239994</v>
      </c>
      <c r="CD251" s="22">
        <f>CD$5+SUM(CE$5:CE250)+SUM(R$5:R250)-SUM(S$5:S250)-SUM(CF$5:CF250)</f>
        <v>206830.67374364546</v>
      </c>
      <c r="CE251" s="22">
        <f t="shared" si="472"/>
        <v>1151.8308594300506</v>
      </c>
      <c r="CF251" s="22">
        <f t="shared" si="238"/>
        <v>1857.9476336777598</v>
      </c>
      <c r="CG251" s="22">
        <f t="shared" si="473"/>
        <v>706.11677424770915</v>
      </c>
      <c r="CI251" s="89">
        <f t="shared" si="239"/>
        <v>0.1142</v>
      </c>
      <c r="CJ251" s="22">
        <f t="shared" si="240"/>
        <v>-212.18</v>
      </c>
      <c r="CK251" s="15">
        <f t="shared" si="246"/>
        <v>0</v>
      </c>
      <c r="CM251" s="22">
        <f t="shared" si="247"/>
        <v>-248724.55345605133</v>
      </c>
      <c r="CN251" s="15">
        <f t="shared" si="253"/>
        <v>-1461.2567515543014</v>
      </c>
    </row>
    <row r="252" spans="1:92">
      <c r="A252" s="25"/>
      <c r="B252" s="80">
        <v>44774</v>
      </c>
      <c r="C252" s="81">
        <f t="shared" ref="C252" si="474">VLOOKUP(B252,Kursy,C$2)</f>
        <v>4.8714000000000004</v>
      </c>
      <c r="D252" s="82">
        <f t="shared" si="248"/>
        <v>5.0175420000000006</v>
      </c>
      <c r="E252" s="73">
        <f t="shared" ref="E252" si="475">Z252</f>
        <v>-373.17844592260121</v>
      </c>
      <c r="F252" s="19">
        <f t="shared" ref="F252" si="476">E252*D252</f>
        <v>-1872.4385259113806</v>
      </c>
      <c r="G252" s="19">
        <f t="shared" ref="G252" si="477">U252</f>
        <v>-1176.7926551197154</v>
      </c>
      <c r="H252" s="19">
        <f t="shared" ref="H252" si="478">G252-F252</f>
        <v>695.64587079166517</v>
      </c>
      <c r="I252" s="62"/>
      <c r="K252" s="15">
        <f>IF(B252&lt;=Dane_kredytowe!F$9,0,K251+1)</f>
        <v>172</v>
      </c>
      <c r="L252" s="83">
        <f t="shared" ref="L252" si="479">VLOOKUP(B252,Oproc,C$2)</f>
        <v>-7.7000000000000002E-3</v>
      </c>
      <c r="M252" s="84">
        <f>L252+Dane_kredytowe!F$12</f>
        <v>2.23E-2</v>
      </c>
      <c r="N252" s="79">
        <f>MAX(Dane_kredytowe!F$17+SUM(AA$5:AA251)-SUM(X$5:X252)+SUM(W$5:W252),0)</f>
        <v>59429.791490578114</v>
      </c>
      <c r="O252" s="85">
        <f>MAX(Dane_kredytowe!F$8+SUM(V$5:V251)-SUM(S$5:S252)+SUM(R$5:R251),0)</f>
        <v>187407.77471353108</v>
      </c>
      <c r="P252" s="67">
        <f t="shared" si="316"/>
        <v>360</v>
      </c>
      <c r="Q252" s="127" t="str">
        <f>IF(AND(K252&gt;0,K252&lt;=Dane_kredytowe!F$16),"tak","nie")</f>
        <v>nie</v>
      </c>
      <c r="R252" s="69"/>
      <c r="S252" s="86">
        <f>IF(Dane_kredytowe!F$19=B252,O251+V251,_xlfn.XLOOKUP(B252,Dane_kredytowe!M$9:M$18,Dane_kredytowe!N$9:N$18,0))</f>
        <v>0</v>
      </c>
      <c r="T252" s="71">
        <f t="shared" si="219"/>
        <v>-348.2661146759786</v>
      </c>
      <c r="U252" s="72">
        <f>IF(Q252="tak",T252,IF(P252-SUM(AB$5:AB252)+1&gt;0,IF(Dane_kredytowe!F$9&lt;B252,IF(SUM(AB$5:AB252)-Dane_kredytowe!F$16+1&gt;0,PMT(M252/12,P252+1-SUM(AB$5:AB252),O252),T252),0),0))</f>
        <v>-1176.7926551197154</v>
      </c>
      <c r="V252" s="72">
        <f t="shared" si="241"/>
        <v>-828.52654044373685</v>
      </c>
      <c r="W252" s="19" t="str">
        <f t="shared" si="242"/>
        <v xml:space="preserve"> </v>
      </c>
      <c r="X252" s="19">
        <f t="shared" si="266"/>
        <v>0</v>
      </c>
      <c r="Y252" s="73">
        <f t="shared" si="220"/>
        <v>-110.44036251999098</v>
      </c>
      <c r="Z252" s="19">
        <f>IF(P252-SUM(AB$5:AB252)+1&gt;0,IF(Dane_kredytowe!F$9&lt;B252,IF(SUM(AB$5:AB252)-Dane_kredytowe!F$16+1&gt;0,PMT(M252/12,P252+1-SUM(AB$5:AB252),N252),Y252),0),0)</f>
        <v>-373.17844592260121</v>
      </c>
      <c r="AA252" s="19">
        <f t="shared" ref="AA252" si="480">Z252-Y252</f>
        <v>-262.73808340261024</v>
      </c>
      <c r="AB252" s="20">
        <f>IF(AND(Dane_kredytowe!F$9&lt;B252,SUM(AB$5:AB251)&lt;P251),1," ")</f>
        <v>1</v>
      </c>
      <c r="AD252" s="75">
        <f>IF(OR(B252&lt;Dane_kredytowe!F$15,Dane_kredytowe!F$15=""),-F252+S252,0)</f>
        <v>0</v>
      </c>
      <c r="AE252" s="75">
        <f t="shared" si="221"/>
        <v>373.17844592260121</v>
      </c>
      <c r="AG252" s="22">
        <f>Dane_kredytowe!F$17-SUM(AI$5:AI251)+SUM(W$42:W252)-SUM(X$42:X252)</f>
        <v>49946</v>
      </c>
      <c r="AH252" s="22">
        <f t="shared" si="222"/>
        <v>92.82</v>
      </c>
      <c r="AI252" s="22">
        <f t="shared" si="223"/>
        <v>264.26</v>
      </c>
      <c r="AJ252" s="22">
        <f t="shared" ref="AJ252" si="481">AI252+AH252</f>
        <v>357.08</v>
      </c>
      <c r="AK252" s="22">
        <f t="shared" si="224"/>
        <v>1791.66</v>
      </c>
      <c r="AL252" s="22">
        <f>Dane_kredytowe!F$8-SUM(AN$5:AN251)+SUM(R$42:R251)-SUM(S$42:S252)</f>
        <v>157500.30999999997</v>
      </c>
      <c r="AM252" s="22">
        <f t="shared" si="225"/>
        <v>292.69</v>
      </c>
      <c r="AN252" s="22">
        <f t="shared" si="226"/>
        <v>833.33</v>
      </c>
      <c r="AO252" s="22">
        <f t="shared" ref="AO252" si="482">AN252+AM252</f>
        <v>1126.02</v>
      </c>
      <c r="AP252" s="22">
        <f t="shared" ref="AP252" si="483">AK252-AO252</f>
        <v>665.6400000000001</v>
      </c>
      <c r="AR252" s="87">
        <f t="shared" si="227"/>
        <v>44774</v>
      </c>
      <c r="AS252" s="23">
        <f>AS$5+SUM(AV$5:AV251)-SUM(X$5:X252)+SUM(W$5:W252)</f>
        <v>86867.421300422298</v>
      </c>
      <c r="AT252" s="22">
        <f t="shared" si="228"/>
        <v>-161.42862458328477</v>
      </c>
      <c r="AU252" s="22">
        <f>IF(AB252=1,IF(Q252="tak",AT252,PMT(M252/12,P252+1-SUM(AB$5:AB252),AS252)),0)</f>
        <v>-545.46799625461915</v>
      </c>
      <c r="AV252" s="22">
        <f t="shared" ref="AV252" si="484">AU252-AT252</f>
        <v>-384.03937167133438</v>
      </c>
      <c r="AW252" s="22">
        <f t="shared" si="229"/>
        <v>-2657.1927969547519</v>
      </c>
      <c r="AY252" s="23">
        <f>AY$5+SUM(BA$5:BA251)+SUM(W$5:W251)-SUM(X$5:X251)</f>
        <v>73004.10143784208</v>
      </c>
      <c r="AZ252" s="23">
        <f t="shared" si="230"/>
        <v>-161.42862458328477</v>
      </c>
      <c r="BA252" s="23">
        <f t="shared" si="231"/>
        <v>-386.27</v>
      </c>
      <c r="BB252" s="23">
        <f t="shared" ref="BB252" si="485">BA252+AZ252</f>
        <v>-547.69862458328475</v>
      </c>
      <c r="BC252" s="23">
        <f t="shared" si="232"/>
        <v>-2668.0590797950135</v>
      </c>
      <c r="BE252" s="88">
        <f t="shared" si="233"/>
        <v>7.0499999999999993E-2</v>
      </c>
      <c r="BF252" s="89">
        <f>BE252+Dane_kredytowe!F$12</f>
        <v>0.10049999999999999</v>
      </c>
      <c r="BG252" s="23">
        <f>BG$5+SUM(BH$5:BH251)+SUM(R$5:R251)-SUM(S$5:S251)</f>
        <v>215552.89454738697</v>
      </c>
      <c r="BH252" s="22">
        <f t="shared" ref="BH252" si="486">IF(BJ252&lt;0,BJ252-BI252,0)</f>
        <v>-470.49283130233653</v>
      </c>
      <c r="BI252" s="22">
        <f t="shared" ref="BI252" si="487">IF(BJ252&lt;0,-BG252*BF252/12,0)</f>
        <v>-1805.2554918343658</v>
      </c>
      <c r="BJ252" s="22">
        <f>IF(U252&lt;0,PMT(BF252/12,Dane_kredytowe!F$13-SUM(AB$5:AB252)+1,BG252),0)</f>
        <v>-2275.7483231367023</v>
      </c>
      <c r="BL252" s="23">
        <f>BL$5+SUM(BN$5:BN251)+SUM(R$5:R251)-SUM(S$5:S251)</f>
        <v>157500.00000000017</v>
      </c>
      <c r="BM252" s="23">
        <f t="shared" ref="BM252" si="488">IF(AB252=1,-BF252*BL252/12,0)</f>
        <v>-1319.0625000000014</v>
      </c>
      <c r="BN252" s="23">
        <f t="shared" si="234"/>
        <v>-833.33333333333428</v>
      </c>
      <c r="BO252" s="23">
        <f t="shared" ref="BO252" si="489">BN252+BM252</f>
        <v>-2152.3958333333358</v>
      </c>
      <c r="BQ252" s="89">
        <f t="shared" ref="BQ252" si="490">BE252+$BQ$4</f>
        <v>8.72E-2</v>
      </c>
      <c r="BR252" s="23">
        <f>BR$5+SUM(BS$5:BS251)+SUM(R$5:R251)-SUM(S$5:S251)+SUM(BV$5:BV251)</f>
        <v>244136.25287447032</v>
      </c>
      <c r="BS252" s="22">
        <f t="shared" ref="BS252" si="491">IF(BU252&lt;0,BU252-BT252,0)</f>
        <v>-605.64696906546737</v>
      </c>
      <c r="BT252" s="22">
        <f t="shared" ref="BT252" si="492">IF(BU252&lt;0,-BR252*BQ252/12,0)</f>
        <v>-1774.0567708878177</v>
      </c>
      <c r="BU252" s="22">
        <f>IF(U252&lt;0,PMT(BQ252/12,Dane_kredytowe!F$13-SUM(AB$5:AB252)+1,BR252),0)</f>
        <v>-2379.7037399532851</v>
      </c>
      <c r="BV252" s="22">
        <f t="shared" si="243"/>
        <v>507.26521404190453</v>
      </c>
      <c r="BX252" s="23">
        <f>BX$5+SUM(BZ$5:BZ251)+SUM(R$5:R251)-SUM(S$5:S251)+SUM(CB$5,CB251)</f>
        <v>157578.44947719466</v>
      </c>
      <c r="BY252" s="22">
        <f t="shared" ref="BY252" si="493">IF(AB252=1,-BQ252*BX252/12,0)</f>
        <v>-1145.0700662009478</v>
      </c>
      <c r="BZ252" s="22">
        <f t="shared" si="237"/>
        <v>-833.74840993224689</v>
      </c>
      <c r="CA252" s="22">
        <f t="shared" ref="CA252" si="494">BZ252+BY252</f>
        <v>-1978.8184761331947</v>
      </c>
      <c r="CB252" s="22">
        <f t="shared" ref="CB252" si="495">$F252-CA252</f>
        <v>106.37995022181417</v>
      </c>
      <c r="CD252" s="22">
        <f>CD$5+SUM(CE$5:CE251)+SUM(R$5:R251)-SUM(S$5:S251)-SUM(CF$5:CF251)</f>
        <v>206124.55696939776</v>
      </c>
      <c r="CE252" s="22">
        <f t="shared" ref="CE252" si="496">IF(AB252=1,BQ252*BX252/12,0)</f>
        <v>1145.0700662009478</v>
      </c>
      <c r="CF252" s="22">
        <f t="shared" si="238"/>
        <v>1872.4385259113806</v>
      </c>
      <c r="CG252" s="22">
        <f t="shared" ref="CG252" si="497">CF252-CE252</f>
        <v>727.36845971043272</v>
      </c>
      <c r="CI252" s="89">
        <f t="shared" si="239"/>
        <v>0.10539999999999999</v>
      </c>
      <c r="CJ252" s="22">
        <f t="shared" si="240"/>
        <v>-197.36</v>
      </c>
      <c r="CK252" s="15">
        <f t="shared" si="246"/>
        <v>0</v>
      </c>
      <c r="CM252" s="22">
        <f t="shared" si="247"/>
        <v>-250596.99198196272</v>
      </c>
      <c r="CN252" s="15">
        <f t="shared" si="253"/>
        <v>-1472.2573278940308</v>
      </c>
    </row>
    <row r="253" spans="1:92">
      <c r="A253" s="25"/>
      <c r="B253" s="80">
        <v>44805</v>
      </c>
      <c r="C253" s="81">
        <f t="shared" ref="C253:C255" si="498">VLOOKUP(B253,Kursy,C$2)</f>
        <v>4.9137000000000004</v>
      </c>
      <c r="D253" s="82">
        <f t="shared" si="248"/>
        <v>5.0611110000000004</v>
      </c>
      <c r="E253" s="73">
        <f t="shared" ref="E253:E255" si="499">Z253</f>
        <v>-373.17844592260116</v>
      </c>
      <c r="F253" s="19">
        <f t="shared" ref="F253:F255" si="500">E253*D253</f>
        <v>-1888.697537621782</v>
      </c>
      <c r="G253" s="19">
        <f t="shared" ref="G253:G255" si="501">U253</f>
        <v>-1176.7926551197156</v>
      </c>
      <c r="H253" s="19">
        <f t="shared" ref="H253:H255" si="502">G253-F253</f>
        <v>711.90488250206636</v>
      </c>
      <c r="I253" s="62"/>
      <c r="K253" s="15">
        <f>IF(B253&lt;=Dane_kredytowe!F$9,0,K252+1)</f>
        <v>173</v>
      </c>
      <c r="L253" s="83">
        <f t="shared" ref="L253:L255" si="503">VLOOKUP(B253,Oproc,C$2)</f>
        <v>-7.7000000000000002E-3</v>
      </c>
      <c r="M253" s="84">
        <f>L253+Dane_kredytowe!F$12</f>
        <v>2.23E-2</v>
      </c>
      <c r="N253" s="79">
        <f>MAX(Dane_kredytowe!F$17+SUM(AA$5:AA252)-SUM(X$5:X253)+SUM(W$5:W253),0)</f>
        <v>59167.053407175503</v>
      </c>
      <c r="O253" s="85">
        <f>MAX(Dane_kredytowe!F$8+SUM(V$5:V252)-SUM(S$5:S253)+SUM(R$5:R252),0)</f>
        <v>186579.24817308737</v>
      </c>
      <c r="P253" s="67">
        <f t="shared" si="316"/>
        <v>360</v>
      </c>
      <c r="Q253" s="127" t="str">
        <f>IF(AND(K253&gt;0,K253&lt;=Dane_kredytowe!F$16),"tak","nie")</f>
        <v>nie</v>
      </c>
      <c r="R253" s="69"/>
      <c r="S253" s="86">
        <f>IF(Dane_kredytowe!F$19=B253,O252+V252,_xlfn.XLOOKUP(B253,Dane_kredytowe!M$9:M$18,Dane_kredytowe!N$9:N$18,0))</f>
        <v>0</v>
      </c>
      <c r="T253" s="71">
        <f t="shared" si="219"/>
        <v>-346.72643618832075</v>
      </c>
      <c r="U253" s="72">
        <f>IF(Q253="tak",T253,IF(P253-SUM(AB$5:AB253)+1&gt;0,IF(Dane_kredytowe!F$9&lt;B253,IF(SUM(AB$5:AB253)-Dane_kredytowe!F$16+1&gt;0,PMT(M253/12,P253+1-SUM(AB$5:AB253),O253),T253),0),0))</f>
        <v>-1176.7926551197156</v>
      </c>
      <c r="V253" s="72">
        <f t="shared" si="241"/>
        <v>-830.06621893139481</v>
      </c>
      <c r="W253" s="19" t="str">
        <f t="shared" si="242"/>
        <v xml:space="preserve"> </v>
      </c>
      <c r="X253" s="19">
        <f t="shared" si="266"/>
        <v>0</v>
      </c>
      <c r="Y253" s="73">
        <f t="shared" si="220"/>
        <v>-109.9521075816678</v>
      </c>
      <c r="Z253" s="19">
        <f>IF(P253-SUM(AB$5:AB253)+1&gt;0,IF(Dane_kredytowe!F$9&lt;B253,IF(SUM(AB$5:AB253)-Dane_kredytowe!F$16+1&gt;0,PMT(M253/12,P253+1-SUM(AB$5:AB253),N253),Y253),0),0)</f>
        <v>-373.17844592260116</v>
      </c>
      <c r="AA253" s="19">
        <f t="shared" ref="AA253:AA255" si="504">Z253-Y253</f>
        <v>-263.22633834093335</v>
      </c>
      <c r="AB253" s="20">
        <f>IF(AND(Dane_kredytowe!F$9&lt;B253,SUM(AB$5:AB252)&lt;P252),1," ")</f>
        <v>1</v>
      </c>
      <c r="AD253" s="75">
        <f>IF(OR(B253&lt;Dane_kredytowe!F$15,Dane_kredytowe!F$15=""),-F253+S253,0)</f>
        <v>0</v>
      </c>
      <c r="AE253" s="75">
        <f t="shared" si="221"/>
        <v>373.17844592260116</v>
      </c>
      <c r="AG253" s="22">
        <f>Dane_kredytowe!F$17-SUM(AI$5:AI252)+SUM(W$42:W253)-SUM(X$42:X253)</f>
        <v>49681.74</v>
      </c>
      <c r="AH253" s="22">
        <f t="shared" si="222"/>
        <v>92.33</v>
      </c>
      <c r="AI253" s="22">
        <f t="shared" si="223"/>
        <v>264.26</v>
      </c>
      <c r="AJ253" s="22">
        <f t="shared" ref="AJ253:AJ255" si="505">AI253+AH253</f>
        <v>356.59</v>
      </c>
      <c r="AK253" s="22">
        <f t="shared" si="224"/>
        <v>1804.74</v>
      </c>
      <c r="AL253" s="22">
        <f>Dane_kredytowe!F$8-SUM(AN$5:AN252)+SUM(R$42:R252)-SUM(S$42:S253)</f>
        <v>156666.97999999998</v>
      </c>
      <c r="AM253" s="22">
        <f t="shared" si="225"/>
        <v>291.14</v>
      </c>
      <c r="AN253" s="22">
        <f t="shared" si="226"/>
        <v>833.34</v>
      </c>
      <c r="AO253" s="22">
        <f t="shared" ref="AO253:AO255" si="506">AN253+AM253</f>
        <v>1124.48</v>
      </c>
      <c r="AP253" s="22">
        <f t="shared" ref="AP253:AP255" si="507">AK253-AO253</f>
        <v>680.26</v>
      </c>
      <c r="AR253" s="87">
        <f t="shared" si="227"/>
        <v>44805</v>
      </c>
      <c r="AS253" s="23">
        <f>AS$5+SUM(AV$5:AV252)-SUM(X$5:X253)+SUM(W$5:W253)</f>
        <v>86483.381928750954</v>
      </c>
      <c r="AT253" s="22">
        <f t="shared" si="228"/>
        <v>-160.71495141759553</v>
      </c>
      <c r="AU253" s="22">
        <f>IF(AB253=1,IF(Q253="tak",AT253,PMT(M253/12,P253+1-SUM(AB$5:AB253),AS253)),0)</f>
        <v>-545.46799625461904</v>
      </c>
      <c r="AV253" s="22">
        <f t="shared" ref="AV253:AV255" si="508">AU253-AT253</f>
        <v>-384.75304483702348</v>
      </c>
      <c r="AW253" s="22">
        <f t="shared" si="229"/>
        <v>-2680.2660931963219</v>
      </c>
      <c r="AY253" s="23">
        <f>AY$5+SUM(BA$5:BA252)+SUM(W$5:W252)-SUM(X$5:X252)</f>
        <v>72617.831437842076</v>
      </c>
      <c r="AZ253" s="23">
        <f t="shared" si="230"/>
        <v>-160.71495141759553</v>
      </c>
      <c r="BA253" s="23">
        <f t="shared" si="231"/>
        <v>-386.27</v>
      </c>
      <c r="BB253" s="23">
        <f t="shared" ref="BB253:BB255" si="509">BA253+AZ253</f>
        <v>-546.98495141759554</v>
      </c>
      <c r="BC253" s="23">
        <f t="shared" si="232"/>
        <v>-2687.7199557806393</v>
      </c>
      <c r="BE253" s="88">
        <f t="shared" si="233"/>
        <v>7.0499999999999993E-2</v>
      </c>
      <c r="BF253" s="89">
        <f>BE253+Dane_kredytowe!F$12</f>
        <v>0.10049999999999999</v>
      </c>
      <c r="BG253" s="23">
        <f>BG$5+SUM(BH$5:BH252)+SUM(R$5:R252)-SUM(S$5:S252)</f>
        <v>215082.40171608463</v>
      </c>
      <c r="BH253" s="22">
        <f t="shared" ref="BH253:BH255" si="510">IF(BJ253&lt;0,BJ253-BI253,0)</f>
        <v>-474.43320876449366</v>
      </c>
      <c r="BI253" s="22">
        <f t="shared" ref="BI253:BI255" si="511">IF(BJ253&lt;0,-BG253*BF253/12,0)</f>
        <v>-1801.3151143722087</v>
      </c>
      <c r="BJ253" s="22">
        <f>IF(U253&lt;0,PMT(BF253/12,Dane_kredytowe!F$13-SUM(AB$5:AB253)+1,BG253),0)</f>
        <v>-2275.7483231367023</v>
      </c>
      <c r="BL253" s="23">
        <f>BL$5+SUM(BN$5:BN252)+SUM(R$5:R252)-SUM(S$5:S252)</f>
        <v>156666.66666666683</v>
      </c>
      <c r="BM253" s="23">
        <f t="shared" ref="BM253:BM255" si="512">IF(AB253=1,-BF253*BL253/12,0)</f>
        <v>-1312.0833333333346</v>
      </c>
      <c r="BN253" s="23">
        <f t="shared" si="234"/>
        <v>-833.33333333333417</v>
      </c>
      <c r="BO253" s="23">
        <f t="shared" ref="BO253:BO255" si="513">BN253+BM253</f>
        <v>-2145.4166666666688</v>
      </c>
      <c r="BQ253" s="89">
        <f t="shared" ref="BQ253:BQ255" si="514">BE253+$BQ$4</f>
        <v>8.72E-2</v>
      </c>
      <c r="BR253" s="23">
        <f>BR$5+SUM(BS$5:BS252)+SUM(R$5:R252)-SUM(S$5:S252)+SUM(BV$5:BV252)</f>
        <v>244037.87111944676</v>
      </c>
      <c r="BS253" s="22">
        <f t="shared" ref="BS253:BS255" si="515">IF(BU253&lt;0,BU253-BT253,0)</f>
        <v>-611.31871105858568</v>
      </c>
      <c r="BT253" s="22">
        <f t="shared" ref="BT253:BT255" si="516">IF(BU253&lt;0,-BR253*BQ253/12,0)</f>
        <v>-1773.3418634679799</v>
      </c>
      <c r="BU253" s="22">
        <f>IF(U253&lt;0,PMT(BQ253/12,Dane_kredytowe!F$13-SUM(AB$5:AB253)+1,BR253),0)</f>
        <v>-2384.6605745265656</v>
      </c>
      <c r="BV253" s="22">
        <f t="shared" si="243"/>
        <v>495.96303690478362</v>
      </c>
      <c r="BX253" s="23">
        <f>BX$5+SUM(BZ$5:BZ252)+SUM(R$5:R252)-SUM(S$5:S252)+SUM(CB$5,CB252)</f>
        <v>156722.94077138181</v>
      </c>
      <c r="BY253" s="22">
        <f t="shared" ref="BY253:BY255" si="517">IF(AB253=1,-BQ253*BX253/12,0)</f>
        <v>-1138.8533696053744</v>
      </c>
      <c r="BZ253" s="22">
        <f t="shared" si="237"/>
        <v>-833.63266367756285</v>
      </c>
      <c r="CA253" s="22">
        <f t="shared" ref="CA253:CA255" si="518">BZ253+BY253</f>
        <v>-1972.4860332829371</v>
      </c>
      <c r="CB253" s="22">
        <f t="shared" ref="CB253:CB255" si="519">$F253-CA253</f>
        <v>83.788495661155139</v>
      </c>
      <c r="CD253" s="22">
        <f>CD$5+SUM(CE$5:CE252)+SUM(R$5:R252)-SUM(S$5:S252)-SUM(CF$5:CF252)</f>
        <v>205397.18850968729</v>
      </c>
      <c r="CE253" s="22">
        <f t="shared" ref="CE253:CE255" si="520">IF(AB253=1,BQ253*BX253/12,0)</f>
        <v>1138.8533696053744</v>
      </c>
      <c r="CF253" s="22">
        <f t="shared" si="238"/>
        <v>1888.697537621782</v>
      </c>
      <c r="CG253" s="22">
        <f t="shared" ref="CG253:CG255" si="521">CF253-CE253</f>
        <v>749.84416801640759</v>
      </c>
      <c r="CI253" s="89">
        <f t="shared" si="239"/>
        <v>8.7999999999999995E-2</v>
      </c>
      <c r="CJ253" s="22">
        <f t="shared" si="240"/>
        <v>-166.21</v>
      </c>
      <c r="CK253" s="15">
        <f t="shared" si="246"/>
        <v>0</v>
      </c>
      <c r="CM253" s="22">
        <f t="shared" si="247"/>
        <v>-252485.6895195845</v>
      </c>
      <c r="CN253" s="15">
        <f t="shared" si="253"/>
        <v>-1483.3534259275586</v>
      </c>
    </row>
    <row r="254" spans="1:92">
      <c r="A254" s="25"/>
      <c r="B254" s="80">
        <v>44835</v>
      </c>
      <c r="C254" s="81">
        <f t="shared" si="498"/>
        <v>4.9169999999999998</v>
      </c>
      <c r="D254" s="82">
        <f t="shared" si="248"/>
        <v>5.0645100000000003</v>
      </c>
      <c r="E254" s="73">
        <f t="shared" si="499"/>
        <v>-373.17844592260121</v>
      </c>
      <c r="F254" s="19">
        <f t="shared" si="500"/>
        <v>-1889.9659711594732</v>
      </c>
      <c r="G254" s="19">
        <f t="shared" si="501"/>
        <v>-1176.7926551197154</v>
      </c>
      <c r="H254" s="19">
        <f t="shared" si="502"/>
        <v>713.17331603975776</v>
      </c>
      <c r="I254" s="62"/>
      <c r="K254" s="15">
        <f>IF(B254&lt;=Dane_kredytowe!F$9,0,K253+1)</f>
        <v>174</v>
      </c>
      <c r="L254" s="83">
        <f t="shared" si="503"/>
        <v>-7.7000000000000002E-3</v>
      </c>
      <c r="M254" s="84">
        <f>L254+Dane_kredytowe!F$12</f>
        <v>2.23E-2</v>
      </c>
      <c r="N254" s="79">
        <f>MAX(Dane_kredytowe!F$17+SUM(AA$5:AA253)-SUM(X$5:X254)+SUM(W$5:W254),0)</f>
        <v>58903.827068834573</v>
      </c>
      <c r="O254" s="85">
        <f>MAX(Dane_kredytowe!F$8+SUM(V$5:V253)-SUM(S$5:S254)+SUM(R$5:R253),0)</f>
        <v>185749.18195415597</v>
      </c>
      <c r="P254" s="67">
        <f t="shared" si="316"/>
        <v>360</v>
      </c>
      <c r="Q254" s="127" t="str">
        <f>IF(AND(K254&gt;0,K254&lt;=Dane_kredytowe!F$16),"tak","nie")</f>
        <v>nie</v>
      </c>
      <c r="R254" s="69"/>
      <c r="S254" s="86">
        <f>IF(Dane_kredytowe!F$19=B254,O253+V253,_xlfn.XLOOKUP(B254,Dane_kredytowe!M$9:M$18,Dane_kredytowe!N$9:N$18,0))</f>
        <v>0</v>
      </c>
      <c r="T254" s="71">
        <f t="shared" si="219"/>
        <v>-345.18389646480654</v>
      </c>
      <c r="U254" s="72">
        <f>IF(Q254="tak",T254,IF(P254-SUM(AB$5:AB254)+1&gt;0,IF(Dane_kredytowe!F$9&lt;B254,IF(SUM(AB$5:AB254)-Dane_kredytowe!F$16+1&gt;0,PMT(M254/12,P254+1-SUM(AB$5:AB254),O254),T254),0),0))</f>
        <v>-1176.7926551197154</v>
      </c>
      <c r="V254" s="72">
        <f t="shared" si="241"/>
        <v>-831.6087586549088</v>
      </c>
      <c r="W254" s="19" t="str">
        <f t="shared" si="242"/>
        <v xml:space="preserve"> </v>
      </c>
      <c r="X254" s="19">
        <f t="shared" si="266"/>
        <v>0</v>
      </c>
      <c r="Y254" s="73">
        <f t="shared" si="220"/>
        <v>-109.46294530291759</v>
      </c>
      <c r="Z254" s="19">
        <f>IF(P254-SUM(AB$5:AB254)+1&gt;0,IF(Dane_kredytowe!F$9&lt;B254,IF(SUM(AB$5:AB254)-Dane_kredytowe!F$16+1&gt;0,PMT(M254/12,P254+1-SUM(AB$5:AB254),N254),Y254),0),0)</f>
        <v>-373.17844592260121</v>
      </c>
      <c r="AA254" s="19">
        <f t="shared" si="504"/>
        <v>-263.71550061968361</v>
      </c>
      <c r="AB254" s="20">
        <f>IF(AND(Dane_kredytowe!F$9&lt;B254,SUM(AB$5:AB253)&lt;P253),1," ")</f>
        <v>1</v>
      </c>
      <c r="AD254" s="75">
        <f>IF(OR(B254&lt;Dane_kredytowe!F$15,Dane_kredytowe!F$15=""),-F254+S254,0)</f>
        <v>0</v>
      </c>
      <c r="AE254" s="75">
        <f t="shared" si="221"/>
        <v>373.17844592260121</v>
      </c>
      <c r="AG254" s="22">
        <f>Dane_kredytowe!F$17-SUM(AI$5:AI253)+SUM(W$42:W254)-SUM(X$42:X254)</f>
        <v>49417.479999999996</v>
      </c>
      <c r="AH254" s="22">
        <f t="shared" si="222"/>
        <v>91.83</v>
      </c>
      <c r="AI254" s="22">
        <f t="shared" si="223"/>
        <v>264.26</v>
      </c>
      <c r="AJ254" s="22">
        <f t="shared" si="505"/>
        <v>356.09</v>
      </c>
      <c r="AK254" s="22">
        <f t="shared" si="224"/>
        <v>1803.42</v>
      </c>
      <c r="AL254" s="22">
        <f>Dane_kredytowe!F$8-SUM(AN$5:AN253)+SUM(R$42:R253)-SUM(S$42:S254)</f>
        <v>155833.63999999998</v>
      </c>
      <c r="AM254" s="22">
        <f t="shared" si="225"/>
        <v>289.58999999999997</v>
      </c>
      <c r="AN254" s="22">
        <f t="shared" si="226"/>
        <v>833.33</v>
      </c>
      <c r="AO254" s="22">
        <f t="shared" si="506"/>
        <v>1122.92</v>
      </c>
      <c r="AP254" s="22">
        <f t="shared" si="507"/>
        <v>680.5</v>
      </c>
      <c r="AR254" s="87">
        <f t="shared" si="227"/>
        <v>44835</v>
      </c>
      <c r="AS254" s="23">
        <f>AS$5+SUM(AV$5:AV253)-SUM(X$5:X254)+SUM(W$5:W254)</f>
        <v>86098.628883913945</v>
      </c>
      <c r="AT254" s="22">
        <f t="shared" si="228"/>
        <v>-159.99995200927341</v>
      </c>
      <c r="AU254" s="22">
        <f>IF(AB254=1,IF(Q254="tak",AT254,PMT(M254/12,P254+1-SUM(AB$5:AB254),AS254)),0)</f>
        <v>-545.46799625461915</v>
      </c>
      <c r="AV254" s="22">
        <f t="shared" si="508"/>
        <v>-385.46804424534571</v>
      </c>
      <c r="AW254" s="22">
        <f t="shared" si="229"/>
        <v>-2682.0661375839622</v>
      </c>
      <c r="AY254" s="23">
        <f>AY$5+SUM(BA$5:BA253)+SUM(W$5:W253)-SUM(X$5:X253)</f>
        <v>72231.561437842072</v>
      </c>
      <c r="AZ254" s="23">
        <f t="shared" si="230"/>
        <v>-159.99995200927341</v>
      </c>
      <c r="BA254" s="23">
        <f t="shared" si="231"/>
        <v>-386.27</v>
      </c>
      <c r="BB254" s="23">
        <f t="shared" si="509"/>
        <v>-546.26995200927342</v>
      </c>
      <c r="BC254" s="23">
        <f t="shared" si="232"/>
        <v>-2686.0093540295975</v>
      </c>
      <c r="BE254" s="88">
        <f t="shared" si="233"/>
        <v>7.1800000000000003E-2</v>
      </c>
      <c r="BF254" s="89">
        <f>BE254+Dane_kredytowe!F$12</f>
        <v>0.1018</v>
      </c>
      <c r="BG254" s="23">
        <f>BG$5+SUM(BH$5:BH253)+SUM(R$5:R253)-SUM(S$5:S253)</f>
        <v>214607.96850732013</v>
      </c>
      <c r="BH254" s="22">
        <f t="shared" si="510"/>
        <v>-472.4559347624222</v>
      </c>
      <c r="BI254" s="22">
        <f t="shared" si="511"/>
        <v>-1820.590932837099</v>
      </c>
      <c r="BJ254" s="22">
        <f>IF(U254&lt;0,PMT(BF254/12,Dane_kredytowe!F$13-SUM(AB$5:AB254)+1,BG254),0)</f>
        <v>-2293.0468675995212</v>
      </c>
      <c r="BL254" s="23">
        <f>BL$5+SUM(BN$5:BN253)+SUM(R$5:R253)-SUM(S$5:S253)</f>
        <v>155833.33333333349</v>
      </c>
      <c r="BM254" s="23">
        <f t="shared" si="512"/>
        <v>-1321.9861111111125</v>
      </c>
      <c r="BN254" s="23">
        <f t="shared" si="234"/>
        <v>-833.33333333333417</v>
      </c>
      <c r="BO254" s="23">
        <f t="shared" si="513"/>
        <v>-2155.3194444444466</v>
      </c>
      <c r="BQ254" s="89">
        <f t="shared" si="514"/>
        <v>8.8499999999999995E-2</v>
      </c>
      <c r="BR254" s="23">
        <f>BR$5+SUM(BS$5:BS253)+SUM(R$5:R253)-SUM(S$5:S253)+SUM(BV$5:BV253)</f>
        <v>243922.51544529296</v>
      </c>
      <c r="BS254" s="22">
        <f t="shared" si="515"/>
        <v>-609.52159905269696</v>
      </c>
      <c r="BT254" s="22">
        <f t="shared" si="516"/>
        <v>-1798.9285514090354</v>
      </c>
      <c r="BU254" s="22">
        <f>IF(U254&lt;0,PMT(BQ254/12,Dane_kredytowe!F$13-SUM(AB$5:AB254)+1,BR254),0)</f>
        <v>-2408.4501504617324</v>
      </c>
      <c r="BV254" s="22">
        <f t="shared" si="243"/>
        <v>518.48417930225924</v>
      </c>
      <c r="BX254" s="23">
        <f>BX$5+SUM(BZ$5:BZ253)+SUM(R$5:R253)-SUM(S$5:S253)+SUM(CB$5,CB253)</f>
        <v>155866.71665314361</v>
      </c>
      <c r="BY254" s="22">
        <f t="shared" si="517"/>
        <v>-1149.517035316934</v>
      </c>
      <c r="BZ254" s="22">
        <f t="shared" si="237"/>
        <v>-833.5118537601262</v>
      </c>
      <c r="CA254" s="22">
        <f t="shared" si="518"/>
        <v>-1983.0288890770603</v>
      </c>
      <c r="CB254" s="22">
        <f t="shared" si="519"/>
        <v>93.062917917587129</v>
      </c>
      <c r="CD254" s="22">
        <f>CD$5+SUM(CE$5:CE253)+SUM(R$5:R253)-SUM(S$5:S253)-SUM(CF$5:CF253)</f>
        <v>204647.34434167089</v>
      </c>
      <c r="CE254" s="22">
        <f t="shared" si="520"/>
        <v>1149.517035316934</v>
      </c>
      <c r="CF254" s="22">
        <f t="shared" si="238"/>
        <v>1889.9659711594732</v>
      </c>
      <c r="CG254" s="22">
        <f t="shared" si="521"/>
        <v>740.44893584253919</v>
      </c>
      <c r="CI254" s="89">
        <f t="shared" si="239"/>
        <v>6.8699999999999997E-2</v>
      </c>
      <c r="CJ254" s="22">
        <f t="shared" si="240"/>
        <v>-129.84</v>
      </c>
      <c r="CK254" s="15">
        <f t="shared" si="246"/>
        <v>0</v>
      </c>
      <c r="CM254" s="22">
        <f t="shared" si="247"/>
        <v>-254375.65549074399</v>
      </c>
      <c r="CN254" s="15">
        <f t="shared" si="253"/>
        <v>-1522.0143386862849</v>
      </c>
    </row>
    <row r="255" spans="1:92">
      <c r="A255" s="25"/>
      <c r="B255" s="80">
        <v>44866</v>
      </c>
      <c r="C255" s="81">
        <f t="shared" si="498"/>
        <v>4.7704000000000004</v>
      </c>
      <c r="D255" s="82">
        <f t="shared" si="248"/>
        <v>4.9135120000000008</v>
      </c>
      <c r="E255" s="73">
        <f t="shared" si="499"/>
        <v>-373.17844592260116</v>
      </c>
      <c r="F255" s="19">
        <f t="shared" si="500"/>
        <v>-1833.616772182052</v>
      </c>
      <c r="G255" s="19">
        <f t="shared" si="501"/>
        <v>-1176.7926551197154</v>
      </c>
      <c r="H255" s="19">
        <f t="shared" si="502"/>
        <v>656.82411706233665</v>
      </c>
      <c r="I255" s="62"/>
      <c r="K255" s="15">
        <f>IF(B255&lt;=Dane_kredytowe!F$9,0,K254+1)</f>
        <v>175</v>
      </c>
      <c r="L255" s="83">
        <f t="shared" si="503"/>
        <v>-7.7000000000000002E-3</v>
      </c>
      <c r="M255" s="84">
        <f>L255+Dane_kredytowe!F$12</f>
        <v>2.23E-2</v>
      </c>
      <c r="N255" s="79">
        <f>MAX(Dane_kredytowe!F$17+SUM(AA$5:AA254)-SUM(X$5:X255)+SUM(W$5:W255),0)</f>
        <v>58640.111568214888</v>
      </c>
      <c r="O255" s="85">
        <f>MAX(Dane_kredytowe!F$8+SUM(V$5:V254)-SUM(S$5:S255)+SUM(R$5:R254),0)</f>
        <v>184917.57319550106</v>
      </c>
      <c r="P255" s="67">
        <f t="shared" si="316"/>
        <v>360</v>
      </c>
      <c r="Q255" s="127" t="str">
        <f>IF(AND(K255&gt;0,K255&lt;=Dane_kredytowe!F$16),"tak","nie")</f>
        <v>nie</v>
      </c>
      <c r="R255" s="69"/>
      <c r="S255" s="86">
        <f>IF(Dane_kredytowe!F$19=B255,O254+V254,_xlfn.XLOOKUP(B255,Dane_kredytowe!M$9:M$18,Dane_kredytowe!N$9:N$18,0))</f>
        <v>0</v>
      </c>
      <c r="T255" s="71">
        <f t="shared" si="219"/>
        <v>-343.63849018830615</v>
      </c>
      <c r="U255" s="72">
        <f>IF(Q255="tak",T255,IF(P255-SUM(AB$5:AB255)+1&gt;0,IF(Dane_kredytowe!F$9&lt;B255,IF(SUM(AB$5:AB255)-Dane_kredytowe!F$16+1&gt;0,PMT(M255/12,P255+1-SUM(AB$5:AB255),O255),T255),0),0))</f>
        <v>-1176.7926551197154</v>
      </c>
      <c r="V255" s="72">
        <f t="shared" si="241"/>
        <v>-833.15416493140924</v>
      </c>
      <c r="W255" s="19" t="str">
        <f t="shared" si="242"/>
        <v xml:space="preserve"> </v>
      </c>
      <c r="X255" s="19">
        <f t="shared" si="266"/>
        <v>0</v>
      </c>
      <c r="Y255" s="73">
        <f t="shared" si="220"/>
        <v>-108.97287399759934</v>
      </c>
      <c r="Z255" s="19">
        <f>IF(P255-SUM(AB$5:AB255)+1&gt;0,IF(Dane_kredytowe!F$9&lt;B255,IF(SUM(AB$5:AB255)-Dane_kredytowe!F$16+1&gt;0,PMT(M255/12,P255+1-SUM(AB$5:AB255),N255),Y255),0),0)</f>
        <v>-373.17844592260116</v>
      </c>
      <c r="AA255" s="19">
        <f t="shared" si="504"/>
        <v>-264.20557192500183</v>
      </c>
      <c r="AB255" s="20">
        <f>IF(AND(Dane_kredytowe!F$9&lt;B255,SUM(AB$5:AB254)&lt;P254),1," ")</f>
        <v>1</v>
      </c>
      <c r="AD255" s="75">
        <f>IF(OR(B255&lt;Dane_kredytowe!F$15,Dane_kredytowe!F$15=""),-F255+S255,0)</f>
        <v>0</v>
      </c>
      <c r="AE255" s="75">
        <f t="shared" si="221"/>
        <v>373.17844592260116</v>
      </c>
      <c r="AG255" s="22">
        <f>Dane_kredytowe!F$17-SUM(AI$5:AI254)+SUM(W$42:W255)-SUM(X$42:X255)</f>
        <v>49153.219999999994</v>
      </c>
      <c r="AH255" s="22">
        <f t="shared" si="222"/>
        <v>91.34</v>
      </c>
      <c r="AI255" s="22">
        <f t="shared" si="223"/>
        <v>264.26</v>
      </c>
      <c r="AJ255" s="22">
        <f t="shared" si="505"/>
        <v>355.6</v>
      </c>
      <c r="AK255" s="22">
        <f t="shared" si="224"/>
        <v>1747.24</v>
      </c>
      <c r="AL255" s="22">
        <f>Dane_kredytowe!F$8-SUM(AN$5:AN254)+SUM(R$42:R254)-SUM(S$42:S255)</f>
        <v>155000.31</v>
      </c>
      <c r="AM255" s="22">
        <f t="shared" si="225"/>
        <v>288.04000000000002</v>
      </c>
      <c r="AN255" s="22">
        <f t="shared" si="226"/>
        <v>833.34</v>
      </c>
      <c r="AO255" s="22">
        <f t="shared" si="506"/>
        <v>1121.3800000000001</v>
      </c>
      <c r="AP255" s="22">
        <f t="shared" si="507"/>
        <v>625.8599999999999</v>
      </c>
      <c r="AR255" s="87">
        <f t="shared" si="227"/>
        <v>44866</v>
      </c>
      <c r="AS255" s="23">
        <f>AS$5+SUM(AV$5:AV254)-SUM(X$5:X255)+SUM(W$5:W255)</f>
        <v>85713.160839668592</v>
      </c>
      <c r="AT255" s="22">
        <f t="shared" si="228"/>
        <v>-159.28362389371748</v>
      </c>
      <c r="AU255" s="22">
        <f>IF(AB255=1,IF(Q255="tak",AT255,PMT(M255/12,P255+1-SUM(AB$5:AB255),AS255)),0)</f>
        <v>-545.46799625461904</v>
      </c>
      <c r="AV255" s="22">
        <f t="shared" si="508"/>
        <v>-386.18437236090153</v>
      </c>
      <c r="AW255" s="22">
        <f t="shared" si="229"/>
        <v>-2602.100529333035</v>
      </c>
      <c r="AY255" s="23">
        <f>AY$5+SUM(BA$5:BA254)+SUM(W$5:W254)-SUM(X$5:X254)</f>
        <v>71845.291437842068</v>
      </c>
      <c r="AZ255" s="23">
        <f t="shared" si="230"/>
        <v>-159.28362389371748</v>
      </c>
      <c r="BA255" s="23">
        <f t="shared" si="231"/>
        <v>-386.27</v>
      </c>
      <c r="BB255" s="23">
        <f t="shared" si="509"/>
        <v>-545.55362389371749</v>
      </c>
      <c r="BC255" s="23">
        <f t="shared" si="232"/>
        <v>-2602.50900742259</v>
      </c>
      <c r="BE255" s="88">
        <f t="shared" si="233"/>
        <v>7.1800000000000003E-2</v>
      </c>
      <c r="BF255" s="89">
        <f>BE255+Dane_kredytowe!F$12</f>
        <v>0.1018</v>
      </c>
      <c r="BG255" s="23">
        <f>BG$5+SUM(BH$5:BH254)+SUM(R$5:R254)-SUM(S$5:S254)</f>
        <v>214135.51257255772</v>
      </c>
      <c r="BH255" s="22">
        <f t="shared" si="510"/>
        <v>-476.46393594232404</v>
      </c>
      <c r="BI255" s="22">
        <f t="shared" si="511"/>
        <v>-1816.5829316571981</v>
      </c>
      <c r="BJ255" s="22">
        <f>IF(U255&lt;0,PMT(BF255/12,Dane_kredytowe!F$13-SUM(AB$5:AB255)+1,BG255),0)</f>
        <v>-2293.0468675995221</v>
      </c>
      <c r="BL255" s="23">
        <f>BL$5+SUM(BN$5:BN254)+SUM(R$5:R254)-SUM(S$5:S254)</f>
        <v>155000.00000000015</v>
      </c>
      <c r="BM255" s="23">
        <f t="shared" si="512"/>
        <v>-1314.9166666666679</v>
      </c>
      <c r="BN255" s="23">
        <f t="shared" si="234"/>
        <v>-833.33333333333417</v>
      </c>
      <c r="BO255" s="23">
        <f t="shared" si="513"/>
        <v>-2148.2500000000018</v>
      </c>
      <c r="BQ255" s="89">
        <f t="shared" si="514"/>
        <v>8.8499999999999995E-2</v>
      </c>
      <c r="BR255" s="23">
        <f>BR$5+SUM(BS$5:BS254)+SUM(R$5:R254)-SUM(S$5:S254)+SUM(BV$5:BV254)</f>
        <v>243831.47802554251</v>
      </c>
      <c r="BS255" s="22">
        <f t="shared" si="515"/>
        <v>-615.3252507918528</v>
      </c>
      <c r="BT255" s="22">
        <f t="shared" si="516"/>
        <v>-1798.2571504383759</v>
      </c>
      <c r="BU255" s="22">
        <f>IF(U255&lt;0,PMT(BQ255/12,Dane_kredytowe!F$13-SUM(AB$5:AB255)+1,BR255),0)</f>
        <v>-2413.5824012302287</v>
      </c>
      <c r="BV255" s="22">
        <f t="shared" si="243"/>
        <v>579.96562904817665</v>
      </c>
      <c r="BX255" s="23">
        <f>BX$5+SUM(BZ$5:BZ254)+SUM(R$5:R254)-SUM(S$5:S254)+SUM(CB$5,CB254)</f>
        <v>155042.47922163989</v>
      </c>
      <c r="BY255" s="22">
        <f t="shared" si="517"/>
        <v>-1143.4382842595942</v>
      </c>
      <c r="BZ255" s="22">
        <f t="shared" si="237"/>
        <v>-833.56171624537581</v>
      </c>
      <c r="CA255" s="22">
        <f t="shared" si="518"/>
        <v>-1977.0000005049701</v>
      </c>
      <c r="CB255" s="22">
        <f t="shared" si="519"/>
        <v>143.38322832291806</v>
      </c>
      <c r="CD255" s="22">
        <f>CD$5+SUM(CE$5:CE254)+SUM(R$5:R254)-SUM(S$5:S254)-SUM(CF$5:CF254)</f>
        <v>203906.89540582831</v>
      </c>
      <c r="CE255" s="22">
        <f t="shared" si="520"/>
        <v>1143.4382842595942</v>
      </c>
      <c r="CF255" s="22">
        <f t="shared" si="238"/>
        <v>1833.616772182052</v>
      </c>
      <c r="CG255" s="22">
        <f t="shared" si="521"/>
        <v>690.17848792245786</v>
      </c>
      <c r="CI255" s="89">
        <f t="shared" si="239"/>
        <v>6.13E-2</v>
      </c>
      <c r="CJ255" s="22">
        <f t="shared" si="240"/>
        <v>-112.4</v>
      </c>
      <c r="CK255" s="15">
        <f t="shared" si="246"/>
        <v>0</v>
      </c>
      <c r="CM255" s="22">
        <f t="shared" si="247"/>
        <v>-256209.27226292604</v>
      </c>
      <c r="CN255" s="15">
        <f t="shared" si="253"/>
        <v>-1532.985479039841</v>
      </c>
    </row>
    <row r="256" spans="1:92">
      <c r="A256" s="25"/>
      <c r="B256" s="80">
        <v>44896</v>
      </c>
      <c r="C256" s="81">
        <f t="shared" ref="C256" si="522">VLOOKUP(B256,Kursy,C$2)</f>
        <v>4.7441000000000004</v>
      </c>
      <c r="D256" s="82">
        <f t="shared" si="248"/>
        <v>4.8864230000000006</v>
      </c>
      <c r="E256" s="73">
        <f t="shared" ref="E256" si="523">Z256</f>
        <v>-402.43736765944334</v>
      </c>
      <c r="F256" s="19">
        <f t="shared" ref="F256" si="524">E256*D256</f>
        <v>-1966.4792093905603</v>
      </c>
      <c r="G256" s="19">
        <f t="shared" ref="G256" si="525">U256</f>
        <v>-1269.0586596889605</v>
      </c>
      <c r="H256" s="19">
        <f t="shared" ref="H256" si="526">G256-F256</f>
        <v>697.42054970159984</v>
      </c>
      <c r="I256" s="62"/>
      <c r="K256" s="15">
        <f>IF(B256&lt;=Dane_kredytowe!F$9,0,K255+1)</f>
        <v>176</v>
      </c>
      <c r="L256" s="83">
        <f t="shared" ref="L256" si="527">VLOOKUP(B256,Oproc,C$2)</f>
        <v>2.7980000000000001E-3</v>
      </c>
      <c r="M256" s="84">
        <f>L256+Dane_kredytowe!F$12</f>
        <v>3.2798000000000001E-2</v>
      </c>
      <c r="N256" s="79">
        <f>MAX(Dane_kredytowe!F$17+SUM(AA$5:AA255)-SUM(X$5:X256)+SUM(W$5:W256),0)</f>
        <v>58375.90599628989</v>
      </c>
      <c r="O256" s="85">
        <f>MAX(Dane_kredytowe!F$8+SUM(V$5:V255)-SUM(S$5:S256)+SUM(R$5:R255),0)</f>
        <v>184084.41903056967</v>
      </c>
      <c r="P256" s="67">
        <f t="shared" si="316"/>
        <v>360</v>
      </c>
      <c r="Q256" s="127" t="str">
        <f>IF(AND(K256&gt;0,K256&lt;=Dane_kredytowe!F$16),"tak","nie")</f>
        <v>nie</v>
      </c>
      <c r="R256" s="69"/>
      <c r="S256" s="86">
        <f>IF(Dane_kredytowe!F$19=B256,O255+V255,_xlfn.XLOOKUP(B256,Dane_kredytowe!M$9:M$18,Dane_kredytowe!N$9:N$18,0))</f>
        <v>0</v>
      </c>
      <c r="T256" s="71">
        <f t="shared" si="219"/>
        <v>-503.13339794705206</v>
      </c>
      <c r="U256" s="72">
        <f>IF(Q256="tak",T256,IF(P256-SUM(AB$5:AB256)+1&gt;0,IF(Dane_kredytowe!F$9&lt;B256,IF(SUM(AB$5:AB256)-Dane_kredytowe!F$16+1&gt;0,PMT(M256/12,P256+1-SUM(AB$5:AB256),O256),T256),0),0))</f>
        <v>-1269.0586596889605</v>
      </c>
      <c r="V256" s="72">
        <f t="shared" si="241"/>
        <v>-765.92526174190834</v>
      </c>
      <c r="W256" s="19" t="str">
        <f t="shared" si="242"/>
        <v xml:space="preserve"> </v>
      </c>
      <c r="X256" s="19">
        <f t="shared" si="266"/>
        <v>0</v>
      </c>
      <c r="Y256" s="73">
        <f t="shared" si="220"/>
        <v>-159.55108040552633</v>
      </c>
      <c r="Z256" s="19">
        <f>IF(P256-SUM(AB$5:AB256)+1&gt;0,IF(Dane_kredytowe!F$9&lt;B256,IF(SUM(AB$5:AB256)-Dane_kredytowe!F$16+1&gt;0,PMT(M256/12,P256+1-SUM(AB$5:AB256),N256),Y256),0),0)</f>
        <v>-402.43736765944334</v>
      </c>
      <c r="AA256" s="19">
        <f t="shared" ref="AA256" si="528">Z256-Y256</f>
        <v>-242.886287253917</v>
      </c>
      <c r="AB256" s="20">
        <f>IF(AND(Dane_kredytowe!F$9&lt;B256,SUM(AB$5:AB255)&lt;P255),1," ")</f>
        <v>1</v>
      </c>
      <c r="AD256" s="75">
        <f>IF(OR(B256&lt;Dane_kredytowe!F$15,Dane_kredytowe!F$15=""),-F256+S256,0)</f>
        <v>0</v>
      </c>
      <c r="AE256" s="75">
        <f t="shared" si="221"/>
        <v>402.43736765944334</v>
      </c>
      <c r="AG256" s="22">
        <f>Dane_kredytowe!F$17-SUM(AI$5:AI255)+SUM(W$42:W256)-SUM(X$42:X256)</f>
        <v>48888.959999999992</v>
      </c>
      <c r="AH256" s="22">
        <f t="shared" si="222"/>
        <v>133.62</v>
      </c>
      <c r="AI256" s="22">
        <f t="shared" si="223"/>
        <v>264.26</v>
      </c>
      <c r="AJ256" s="22">
        <f t="shared" ref="AJ256" si="529">AI256+AH256</f>
        <v>397.88</v>
      </c>
      <c r="AK256" s="22">
        <f t="shared" si="224"/>
        <v>1944.21</v>
      </c>
      <c r="AL256" s="22">
        <f>Dane_kredytowe!F$8-SUM(AN$5:AN255)+SUM(R$42:R255)-SUM(S$42:S256)</f>
        <v>154166.97</v>
      </c>
      <c r="AM256" s="22">
        <f t="shared" si="225"/>
        <v>421.36</v>
      </c>
      <c r="AN256" s="22">
        <f t="shared" si="226"/>
        <v>833.33</v>
      </c>
      <c r="AO256" s="22">
        <f t="shared" ref="AO256" si="530">AN256+AM256</f>
        <v>1254.69</v>
      </c>
      <c r="AP256" s="22">
        <f t="shared" ref="AP256" si="531">AK256-AO256</f>
        <v>689.52</v>
      </c>
      <c r="AR256" s="87">
        <f t="shared" si="227"/>
        <v>44896</v>
      </c>
      <c r="AS256" s="23">
        <f>AS$5+SUM(AV$5:AV255)-SUM(X$5:X256)+SUM(W$5:W256)</f>
        <v>85326.976467307686</v>
      </c>
      <c r="AT256" s="22">
        <f t="shared" si="228"/>
        <v>-233.21284784789646</v>
      </c>
      <c r="AU256" s="22">
        <f>IF(AB256=1,IF(Q256="tak",AT256,PMT(M256/12,P256+1-SUM(AB$5:AB256),AS256)),0)</f>
        <v>-588.23521817417259</v>
      </c>
      <c r="AV256" s="22">
        <f t="shared" ref="AV256" si="532">AU256-AT256</f>
        <v>-355.02237032627613</v>
      </c>
      <c r="AW256" s="22">
        <f t="shared" si="229"/>
        <v>-2790.6466985400925</v>
      </c>
      <c r="AY256" s="23">
        <f>AY$5+SUM(BA$5:BA255)+SUM(W$5:W255)-SUM(X$5:X255)</f>
        <v>71459.021437842064</v>
      </c>
      <c r="AZ256" s="23">
        <f t="shared" si="230"/>
        <v>-233.21284784789646</v>
      </c>
      <c r="BA256" s="23">
        <f t="shared" si="231"/>
        <v>-386.26</v>
      </c>
      <c r="BB256" s="23">
        <f t="shared" ref="BB256" si="533">BA256+AZ256</f>
        <v>-619.47284784789645</v>
      </c>
      <c r="BC256" s="23">
        <f t="shared" si="232"/>
        <v>-2938.8411374752059</v>
      </c>
      <c r="BE256" s="88">
        <f t="shared" si="233"/>
        <v>7.3099999999999998E-2</v>
      </c>
      <c r="BF256" s="89">
        <f>BE256+Dane_kredytowe!F$12</f>
        <v>0.1031</v>
      </c>
      <c r="BG256" s="23">
        <f>BG$5+SUM(BH$5:BH255)+SUM(R$5:R255)-SUM(S$5:S255)</f>
        <v>213659.04863661539</v>
      </c>
      <c r="BH256" s="22">
        <f t="shared" ref="BH256" si="534">IF(BJ256&lt;0,BJ256-BI256,0)</f>
        <v>-474.59145323230109</v>
      </c>
      <c r="BI256" s="22">
        <f t="shared" ref="BI256" si="535">IF(BJ256&lt;0,-BG256*BF256/12,0)</f>
        <v>-1835.6873262029205</v>
      </c>
      <c r="BJ256" s="22">
        <f>IF(U256&lt;0,PMT(BF256/12,Dane_kredytowe!F$13-SUM(AB$5:AB256)+1,BG256),0)</f>
        <v>-2310.2787794352216</v>
      </c>
      <c r="BL256" s="23">
        <f>BL$5+SUM(BN$5:BN255)+SUM(R$5:R255)-SUM(S$5:S255)</f>
        <v>154166.6666666668</v>
      </c>
      <c r="BM256" s="23">
        <f t="shared" ref="BM256" si="536">IF(AB256=1,-BF256*BL256/12,0)</f>
        <v>-1324.5486111111122</v>
      </c>
      <c r="BN256" s="23">
        <f t="shared" si="234"/>
        <v>-833.33333333333405</v>
      </c>
      <c r="BO256" s="23">
        <f t="shared" ref="BO256" si="537">BN256+BM256</f>
        <v>-2157.8819444444462</v>
      </c>
      <c r="BQ256" s="89">
        <f t="shared" ref="BQ256" si="538">BE256+$BQ$4</f>
        <v>8.9799999999999991E-2</v>
      </c>
      <c r="BR256" s="23">
        <f>BR$5+SUM(BS$5:BS255)+SUM(R$5:R255)-SUM(S$5:S255)+SUM(BV$5:BV255)</f>
        <v>243796.11840379884</v>
      </c>
      <c r="BS256" s="22">
        <f t="shared" ref="BS256" si="539">IF(BU256&lt;0,BU256-BT256,0)</f>
        <v>-613.87135913205589</v>
      </c>
      <c r="BT256" s="22">
        <f t="shared" ref="BT256" si="540">IF(BU256&lt;0,-BR256*BQ256/12,0)</f>
        <v>-1824.4076193884277</v>
      </c>
      <c r="BU256" s="22">
        <f>IF(U256&lt;0,PMT(BQ256/12,Dane_kredytowe!F$13-SUM(AB$5:AB256)+1,BR256),0)</f>
        <v>-2438.2789785204836</v>
      </c>
      <c r="BV256" s="22">
        <f t="shared" si="243"/>
        <v>471.79976912992333</v>
      </c>
      <c r="BX256" s="23">
        <f>BX$5+SUM(BZ$5:BZ255)+SUM(R$5:R255)-SUM(S$5:S255)+SUM(CB$5,CB255)</f>
        <v>154259.23781579986</v>
      </c>
      <c r="BY256" s="22">
        <f t="shared" ref="BY256" si="541">IF(AB256=1,-BQ256*BX256/12,0)</f>
        <v>-1154.3732963215689</v>
      </c>
      <c r="BZ256" s="22">
        <f t="shared" si="237"/>
        <v>-833.83371792324249</v>
      </c>
      <c r="CA256" s="22">
        <f t="shared" ref="CA256" si="542">BZ256+BY256</f>
        <v>-1988.2070142448115</v>
      </c>
      <c r="CB256" s="22">
        <f t="shared" ref="CB256" si="543">$F256-CA256</f>
        <v>21.72780485425119</v>
      </c>
      <c r="CD256" s="22">
        <f>CD$5+SUM(CE$5:CE255)+SUM(R$5:R255)-SUM(S$5:S255)-SUM(CF$5:CF255)</f>
        <v>203216.7169179059</v>
      </c>
      <c r="CE256" s="22">
        <f t="shared" ref="CE256" si="544">IF(AB256=1,BQ256*BX256/12,0)</f>
        <v>1154.3732963215689</v>
      </c>
      <c r="CF256" s="22">
        <f t="shared" si="238"/>
        <v>1966.4792093905603</v>
      </c>
      <c r="CG256" s="22">
        <f t="shared" ref="CG256" si="545">CF256-CE256</f>
        <v>812.10591306899141</v>
      </c>
      <c r="CI256" s="89">
        <f t="shared" si="239"/>
        <v>6.0199999999999997E-2</v>
      </c>
      <c r="CJ256" s="22">
        <f t="shared" si="240"/>
        <v>-118.38</v>
      </c>
      <c r="CK256" s="15">
        <f t="shared" si="246"/>
        <v>0</v>
      </c>
      <c r="CM256" s="22">
        <f t="shared" si="247"/>
        <v>-258175.7514723166</v>
      </c>
      <c r="CN256" s="15">
        <f t="shared" si="253"/>
        <v>-1572.7206193855284</v>
      </c>
    </row>
    <row r="257" spans="1:92">
      <c r="A257" s="25">
        <v>2023</v>
      </c>
      <c r="B257" s="80">
        <v>44927</v>
      </c>
      <c r="C257" s="81">
        <f t="shared" ref="C257" si="546">VLOOKUP(B257,Kursy,C$2)</f>
        <v>4.7169999999999996</v>
      </c>
      <c r="D257" s="82">
        <f t="shared" si="248"/>
        <v>4.8585099999999999</v>
      </c>
      <c r="E257" s="73">
        <f t="shared" ref="E257" si="547">Z257</f>
        <v>-414.54025650967441</v>
      </c>
      <c r="F257" s="19">
        <f t="shared" ref="F257" si="548">E257*D257</f>
        <v>-2014.0479816548182</v>
      </c>
      <c r="G257" s="19">
        <f t="shared" ref="G257" si="549">U257</f>
        <v>-1307.2242902614082</v>
      </c>
      <c r="H257" s="19">
        <f t="shared" ref="H257" si="550">G257-F257</f>
        <v>706.82369139340994</v>
      </c>
      <c r="I257" s="62"/>
      <c r="K257" s="15">
        <f>IF(B257&lt;=Dane_kredytowe!F$9,0,K256+1)</f>
        <v>177</v>
      </c>
      <c r="L257" s="83">
        <f t="shared" ref="L257" si="551">VLOOKUP(B257,Oproc,C$2)</f>
        <v>7.0260000000000001E-3</v>
      </c>
      <c r="M257" s="84">
        <f>L257+Dane_kredytowe!F$12</f>
        <v>3.7025999999999996E-2</v>
      </c>
      <c r="N257" s="79">
        <f>MAX(Dane_kredytowe!F$17+SUM(AA$5:AA256)-SUM(X$5:X257)+SUM(W$5:W257),0)</f>
        <v>58133.019709035972</v>
      </c>
      <c r="O257" s="85">
        <f>MAX(Dane_kredytowe!F$8+SUM(V$5:V256)-SUM(S$5:S257)+SUM(R$5:R256),0)</f>
        <v>183318.49376882776</v>
      </c>
      <c r="P257" s="67">
        <f t="shared" si="316"/>
        <v>360</v>
      </c>
      <c r="Q257" s="127" t="str">
        <f>IF(AND(K257&gt;0,K257&lt;=Dane_kredytowe!F$16),"tak","nie")</f>
        <v>nie</v>
      </c>
      <c r="R257" s="69"/>
      <c r="S257" s="86">
        <f>IF(Dane_kredytowe!F$19=B257,O256+V256,_xlfn.XLOOKUP(B257,Dane_kredytowe!M$9:M$18,Dane_kredytowe!N$9:N$18,0))</f>
        <v>0</v>
      </c>
      <c r="T257" s="71">
        <f t="shared" si="219"/>
        <v>-565.62921252371802</v>
      </c>
      <c r="U257" s="72">
        <f>IF(Q257="tak",T257,IF(P257-SUM(AB$5:AB257)+1&gt;0,IF(Dane_kredytowe!F$9&lt;B257,IF(SUM(AB$5:AB257)-Dane_kredytowe!F$16+1&gt;0,PMT(M257/12,P257+1-SUM(AB$5:AB257),O257),T257),0),0))</f>
        <v>-1307.2242902614082</v>
      </c>
      <c r="V257" s="72">
        <f t="shared" si="241"/>
        <v>-741.59507773769019</v>
      </c>
      <c r="W257" s="19" t="str">
        <f t="shared" si="242"/>
        <v xml:space="preserve"> </v>
      </c>
      <c r="X257" s="19">
        <f t="shared" si="266"/>
        <v>0</v>
      </c>
      <c r="Y257" s="73">
        <f t="shared" si="220"/>
        <v>-179.36943231223049</v>
      </c>
      <c r="Z257" s="19">
        <f>IF(P257-SUM(AB$5:AB257)+1&gt;0,IF(Dane_kredytowe!F$9&lt;B257,IF(SUM(AB$5:AB257)-Dane_kredytowe!F$16+1&gt;0,PMT(M257/12,P257+1-SUM(AB$5:AB257),N257),Y257),0),0)</f>
        <v>-414.54025650967441</v>
      </c>
      <c r="AA257" s="19">
        <f t="shared" ref="AA257" si="552">Z257-Y257</f>
        <v>-235.17082419744392</v>
      </c>
      <c r="AB257" s="20">
        <f>IF(AND(Dane_kredytowe!F$9&lt;B257,SUM(AB$5:AB256)&lt;P256),1," ")</f>
        <v>1</v>
      </c>
      <c r="AD257" s="75">
        <f>IF(OR(B257&lt;Dane_kredytowe!F$15,Dane_kredytowe!F$15=""),-F257+S257,0)</f>
        <v>0</v>
      </c>
      <c r="AE257" s="75">
        <f t="shared" si="221"/>
        <v>414.54025650967441</v>
      </c>
      <c r="AG257" s="22">
        <f>Dane_kredytowe!F$17-SUM(AI$5:AI256)+SUM(W$42:W257)-SUM(X$42:X257)</f>
        <v>48624.69999999999</v>
      </c>
      <c r="AH257" s="22">
        <f t="shared" si="222"/>
        <v>150.03</v>
      </c>
      <c r="AI257" s="22">
        <f t="shared" si="223"/>
        <v>264.26</v>
      </c>
      <c r="AJ257" s="22">
        <f t="shared" ref="AJ257" si="553">AI257+AH257</f>
        <v>414.28999999999996</v>
      </c>
      <c r="AK257" s="22">
        <f t="shared" si="224"/>
        <v>2012.83</v>
      </c>
      <c r="AL257" s="22">
        <f>Dane_kredytowe!F$8-SUM(AN$5:AN256)+SUM(R$42:R256)-SUM(S$42:S257)</f>
        <v>153333.64000000001</v>
      </c>
      <c r="AM257" s="22">
        <f t="shared" si="225"/>
        <v>473.11</v>
      </c>
      <c r="AN257" s="22">
        <f t="shared" si="226"/>
        <v>833.34</v>
      </c>
      <c r="AO257" s="22">
        <f t="shared" ref="AO257" si="554">AN257+AM257</f>
        <v>1306.45</v>
      </c>
      <c r="AP257" s="22">
        <f t="shared" ref="AP257" si="555">AK257-AO257</f>
        <v>706.37999999999988</v>
      </c>
      <c r="AR257" s="87">
        <f t="shared" si="227"/>
        <v>44927</v>
      </c>
      <c r="AS257" s="23">
        <f>AS$5+SUM(AV$5:AV256)-SUM(X$5:X257)+SUM(W$5:W257)</f>
        <v>84971.954096981412</v>
      </c>
      <c r="AT257" s="22">
        <f t="shared" si="228"/>
        <v>-262.18096436623608</v>
      </c>
      <c r="AU257" s="22">
        <f>IF(AB257=1,IF(Q257="tak",AT257,PMT(M257/12,P257+1-SUM(AB$5:AB257),AS257)),0)</f>
        <v>-605.92578578910161</v>
      </c>
      <c r="AV257" s="22">
        <f t="shared" ref="AV257" si="556">AU257-AT257</f>
        <v>-343.74482142286553</v>
      </c>
      <c r="AW257" s="22">
        <f t="shared" si="229"/>
        <v>-2858.1519315671922</v>
      </c>
      <c r="AY257" s="23">
        <f>AY$5+SUM(BA$5:BA256)+SUM(W$5:W256)-SUM(X$5:X256)</f>
        <v>71072.761437842069</v>
      </c>
      <c r="AZ257" s="23">
        <f t="shared" si="230"/>
        <v>-262.18096436623608</v>
      </c>
      <c r="BA257" s="23">
        <f t="shared" si="231"/>
        <v>-386.27</v>
      </c>
      <c r="BB257" s="23">
        <f t="shared" ref="BB257" si="557">BA257+AZ257</f>
        <v>-648.45096436623612</v>
      </c>
      <c r="BC257" s="23">
        <f t="shared" si="232"/>
        <v>-3058.7431989155357</v>
      </c>
      <c r="BE257" s="88">
        <f t="shared" si="233"/>
        <v>6.9500000000000006E-2</v>
      </c>
      <c r="BF257" s="89">
        <f>BE257+Dane_kredytowe!F$12</f>
        <v>9.9500000000000005E-2</v>
      </c>
      <c r="BG257" s="23">
        <f>BG$5+SUM(BH$5:BH256)+SUM(R$5:R256)-SUM(S$5:S256)</f>
        <v>213184.45718338306</v>
      </c>
      <c r="BH257" s="22">
        <f t="shared" ref="BH257" si="558">IF(BJ257&lt;0,BJ257-BI257,0)</f>
        <v>-495.22811770539033</v>
      </c>
      <c r="BI257" s="22">
        <f t="shared" ref="BI257" si="559">IF(BJ257&lt;0,-BG257*BF257/12,0)</f>
        <v>-1767.6544574788848</v>
      </c>
      <c r="BJ257" s="22">
        <f>IF(U257&lt;0,PMT(BF257/12,Dane_kredytowe!F$13-SUM(AB$5:AB257)+1,BG257),0)</f>
        <v>-2262.8825751842751</v>
      </c>
      <c r="BL257" s="23">
        <f>BL$5+SUM(BN$5:BN256)+SUM(R$5:R256)-SUM(S$5:S256)</f>
        <v>153333.33333333346</v>
      </c>
      <c r="BM257" s="23">
        <f t="shared" ref="BM257" si="560">IF(AB257=1,-BF257*BL257/12,0)</f>
        <v>-1271.3888888888901</v>
      </c>
      <c r="BN257" s="23">
        <f t="shared" si="234"/>
        <v>-833.33333333333405</v>
      </c>
      <c r="BO257" s="23">
        <f t="shared" ref="BO257" si="561">BN257+BM257</f>
        <v>-2104.722222222224</v>
      </c>
      <c r="BQ257" s="89">
        <f t="shared" ref="BQ257" si="562">BE257+$BQ$4</f>
        <v>8.6199999999999999E-2</v>
      </c>
      <c r="BR257" s="23">
        <f>BR$5+SUM(BS$5:BS256)+SUM(R$5:R256)-SUM(S$5:S256)+SUM(BV$5:BV256)</f>
        <v>243654.04681379674</v>
      </c>
      <c r="BS257" s="22">
        <f t="shared" ref="BS257" si="563">IF(BU257&lt;0,BU257-BT257,0)</f>
        <v>-640.5908429234139</v>
      </c>
      <c r="BT257" s="22">
        <f t="shared" ref="BT257" si="564">IF(BU257&lt;0,-BR257*BQ257/12,0)</f>
        <v>-1750.2482362791068</v>
      </c>
      <c r="BU257" s="22">
        <f>IF(U257&lt;0,PMT(BQ257/12,Dane_kredytowe!F$13-SUM(AB$5:AB257)+1,BR257),0)</f>
        <v>-2390.8390792025207</v>
      </c>
      <c r="BV257" s="22">
        <f t="shared" si="243"/>
        <v>376.79109754770252</v>
      </c>
      <c r="BX257" s="23">
        <f>BX$5+SUM(BZ$5:BZ256)+SUM(R$5:R256)-SUM(S$5:S256)+SUM(CB$5,CB256)</f>
        <v>153303.74867440795</v>
      </c>
      <c r="BY257" s="22">
        <f t="shared" ref="BY257" si="565">IF(AB257=1,-BQ257*BX257/12,0)</f>
        <v>-1101.2319279778305</v>
      </c>
      <c r="BZ257" s="22">
        <f t="shared" si="237"/>
        <v>-833.17254714352146</v>
      </c>
      <c r="CA257" s="22">
        <f t="shared" ref="CA257" si="566">BZ257+BY257</f>
        <v>-1934.4044751213519</v>
      </c>
      <c r="CB257" s="22">
        <f t="shared" ref="CB257" si="567">$F257-CA257</f>
        <v>-79.64350653346628</v>
      </c>
      <c r="CD257" s="22">
        <f>CD$5+SUM(CE$5:CE256)+SUM(R$5:R256)-SUM(S$5:S256)-SUM(CF$5:CF256)</f>
        <v>202404.61100483689</v>
      </c>
      <c r="CE257" s="22">
        <f t="shared" ref="CE257" si="568">IF(AB257=1,BQ257*BX257/12,0)</f>
        <v>1101.2319279778305</v>
      </c>
      <c r="CF257" s="22">
        <f t="shared" si="238"/>
        <v>2014.0479816548182</v>
      </c>
      <c r="CG257" s="22">
        <f t="shared" ref="CG257" si="569">CF257-CE257</f>
        <v>912.81605367698762</v>
      </c>
      <c r="CI257" s="89">
        <f t="shared" si="239"/>
        <v>3.44E-2</v>
      </c>
      <c r="CJ257" s="22">
        <f t="shared" si="240"/>
        <v>-69.28</v>
      </c>
      <c r="CK257" s="15">
        <f t="shared" si="246"/>
        <v>0</v>
      </c>
      <c r="CM257" s="22">
        <f t="shared" si="247"/>
        <v>-260189.79945397141</v>
      </c>
      <c r="CN257" s="15">
        <f t="shared" si="253"/>
        <v>-1506.932588504251</v>
      </c>
    </row>
    <row r="258" spans="1:92">
      <c r="B258" s="80">
        <v>44958</v>
      </c>
      <c r="C258" s="81">
        <f t="shared" ref="C258" si="570">VLOOKUP(B258,Kursy,C$2)</f>
        <v>4.7866999999999997</v>
      </c>
      <c r="D258" s="82">
        <f t="shared" si="248"/>
        <v>4.930301</v>
      </c>
      <c r="E258" s="73">
        <f t="shared" ref="E258" si="571">Z258</f>
        <v>-419.11302635192033</v>
      </c>
      <c r="F258" s="19">
        <f t="shared" ref="F258" si="572">E258*D258</f>
        <v>-2066.3533729358992</v>
      </c>
      <c r="G258" s="19">
        <f t="shared" ref="G258" si="573">U258</f>
        <v>-1321.6442065848285</v>
      </c>
      <c r="H258" s="19">
        <f t="shared" ref="H258" si="574">G258-F258</f>
        <v>744.70916635107073</v>
      </c>
      <c r="I258" s="62"/>
      <c r="K258" s="15">
        <f>IF(B258&lt;=Dane_kredytowe!F$9,0,K257+1)</f>
        <v>178</v>
      </c>
      <c r="L258" s="83">
        <f t="shared" ref="L258" si="575">VLOOKUP(B258,Oproc,C$2)</f>
        <v>8.6119999999999999E-3</v>
      </c>
      <c r="M258" s="84">
        <f>L258+Dane_kredytowe!F$12</f>
        <v>3.8612E-2</v>
      </c>
      <c r="N258" s="79">
        <f>MAX(Dane_kredytowe!F$17+SUM(AA$5:AA257)-SUM(X$5:X258)+SUM(W$5:W258),0)</f>
        <v>57897.848884838531</v>
      </c>
      <c r="O258" s="85">
        <f>MAX(Dane_kredytowe!F$8+SUM(V$5:V257)-SUM(S$5:S258)+SUM(R$5:R257),0)</f>
        <v>182576.89869109006</v>
      </c>
      <c r="P258" s="67">
        <f t="shared" si="316"/>
        <v>360</v>
      </c>
      <c r="Q258" s="127" t="str">
        <f>IF(AND(K258&gt;0,K258&lt;=Dane_kredytowe!F$16),"tak","nie")</f>
        <v>nie</v>
      </c>
      <c r="R258" s="69"/>
      <c r="S258" s="86">
        <f>IF(Dane_kredytowe!F$19=B258,O257+V257,_xlfn.XLOOKUP(B258,Dane_kredytowe!M$9:M$18,Dane_kredytowe!N$9:N$18,0))</f>
        <v>0</v>
      </c>
      <c r="T258" s="71">
        <f t="shared" si="219"/>
        <v>-587.47160102169744</v>
      </c>
      <c r="U258" s="72">
        <f>IF(Q258="tak",T258,IF(P258-SUM(AB$5:AB258)+1&gt;0,IF(Dane_kredytowe!F$9&lt;B258,IF(SUM(AB$5:AB258)-Dane_kredytowe!F$16+1&gt;0,PMT(M258/12,P258+1-SUM(AB$5:AB258),O258),T258),0),0))</f>
        <v>-1321.6442065848285</v>
      </c>
      <c r="V258" s="72">
        <f t="shared" si="241"/>
        <v>-734.17260556313101</v>
      </c>
      <c r="W258" s="19" t="str">
        <f t="shared" si="242"/>
        <v xml:space="preserve"> </v>
      </c>
      <c r="X258" s="19">
        <f t="shared" si="266"/>
        <v>0</v>
      </c>
      <c r="Y258" s="73">
        <f t="shared" si="220"/>
        <v>-186.29597842844876</v>
      </c>
      <c r="Z258" s="19">
        <f>IF(P258-SUM(AB$5:AB258)+1&gt;0,IF(Dane_kredytowe!F$9&lt;B258,IF(SUM(AB$5:AB258)-Dane_kredytowe!F$16+1&gt;0,PMT(M258/12,P258+1-SUM(AB$5:AB258),N258),Y258),0),0)</f>
        <v>-419.11302635192033</v>
      </c>
      <c r="AA258" s="19">
        <f t="shared" ref="AA258" si="576">Z258-Y258</f>
        <v>-232.81704792347156</v>
      </c>
      <c r="AB258" s="20">
        <f>IF(AND(Dane_kredytowe!F$9&lt;B258,SUM(AB$5:AB257)&lt;P257),1," ")</f>
        <v>1</v>
      </c>
      <c r="AD258" s="75">
        <f>IF(OR(B258&lt;Dane_kredytowe!F$15,Dane_kredytowe!F$15=""),-F258+S258,0)</f>
        <v>0</v>
      </c>
      <c r="AE258" s="75">
        <f t="shared" si="221"/>
        <v>419.11302635192033</v>
      </c>
      <c r="AG258" s="22">
        <f>Dane_kredytowe!F$17-SUM(AI$5:AI257)+SUM(W$42:W258)-SUM(X$42:X258)</f>
        <v>48360.439999999988</v>
      </c>
      <c r="AH258" s="22">
        <f t="shared" si="222"/>
        <v>155.61000000000001</v>
      </c>
      <c r="AI258" s="22">
        <f t="shared" si="223"/>
        <v>264.26</v>
      </c>
      <c r="AJ258" s="22">
        <f t="shared" ref="AJ258" si="577">AI258+AH258</f>
        <v>419.87</v>
      </c>
      <c r="AK258" s="22">
        <f t="shared" si="224"/>
        <v>2070.09</v>
      </c>
      <c r="AL258" s="22">
        <f>Dane_kredytowe!F$8-SUM(AN$5:AN257)+SUM(R$42:R257)-SUM(S$42:S258)</f>
        <v>152500.30000000002</v>
      </c>
      <c r="AM258" s="22">
        <f t="shared" si="225"/>
        <v>490.7</v>
      </c>
      <c r="AN258" s="22">
        <f t="shared" si="226"/>
        <v>833.33</v>
      </c>
      <c r="AO258" s="22">
        <f t="shared" ref="AO258" si="578">AN258+AM258</f>
        <v>1324.03</v>
      </c>
      <c r="AP258" s="22">
        <f t="shared" ref="AP258" si="579">AK258-AO258</f>
        <v>746.06000000000017</v>
      </c>
      <c r="AR258" s="87">
        <f t="shared" si="227"/>
        <v>44958</v>
      </c>
      <c r="AS258" s="23">
        <f>AS$5+SUM(AV$5:AV257)-SUM(X$5:X258)+SUM(W$5:W258)</f>
        <v>84628.209275558562</v>
      </c>
      <c r="AT258" s="22">
        <f t="shared" si="228"/>
        <v>-272.3053680456556</v>
      </c>
      <c r="AU258" s="22">
        <f>IF(AB258=1,IF(Q258="tak",AT258,PMT(M258/12,P258+1-SUM(AB$5:AB258),AS258)),0)</f>
        <v>-612.60971845037011</v>
      </c>
      <c r="AV258" s="22">
        <f t="shared" ref="AV258" si="580">AU258-AT258</f>
        <v>-340.30435040471451</v>
      </c>
      <c r="AW258" s="22">
        <f t="shared" si="229"/>
        <v>-2932.3789393063867</v>
      </c>
      <c r="AY258" s="23">
        <f>AY$5+SUM(BA$5:BA257)+SUM(W$5:W257)-SUM(X$5:X257)</f>
        <v>70686.491437842065</v>
      </c>
      <c r="AZ258" s="23">
        <f t="shared" si="230"/>
        <v>-272.3053680456556</v>
      </c>
      <c r="BA258" s="23">
        <f t="shared" si="231"/>
        <v>-386.26</v>
      </c>
      <c r="BB258" s="23">
        <f t="shared" ref="BB258" si="581">BA258+AZ258</f>
        <v>-658.56536804565553</v>
      </c>
      <c r="BC258" s="23">
        <f t="shared" si="232"/>
        <v>-3152.3548472241391</v>
      </c>
      <c r="BE258" s="88">
        <f t="shared" si="233"/>
        <v>6.9400000000000003E-2</v>
      </c>
      <c r="BF258" s="89">
        <f>BE258+Dane_kredytowe!F$12</f>
        <v>9.9400000000000002E-2</v>
      </c>
      <c r="BG258" s="23">
        <f>BG$5+SUM(BH$5:BH257)+SUM(R$5:R257)-SUM(S$5:S257)</f>
        <v>212689.22906567767</v>
      </c>
      <c r="BH258" s="22">
        <f t="shared" ref="BH258" si="582">IF(BJ258&lt;0,BJ258-BI258,0)</f>
        <v>-499.80177662304732</v>
      </c>
      <c r="BI258" s="22">
        <f t="shared" ref="BI258" si="583">IF(BJ258&lt;0,-BG258*BF258/12,0)</f>
        <v>-1761.7757807606968</v>
      </c>
      <c r="BJ258" s="22">
        <f>IF(U258&lt;0,PMT(BF258/12,Dane_kredytowe!F$13-SUM(AB$5:AB258)+1,BG258),0)</f>
        <v>-2261.5775573837441</v>
      </c>
      <c r="BL258" s="23">
        <f>BL$5+SUM(BN$5:BN257)+SUM(R$5:R257)-SUM(S$5:S257)</f>
        <v>152500.00000000012</v>
      </c>
      <c r="BM258" s="23">
        <f t="shared" ref="BM258" si="584">IF(AB258=1,-BF258*BL258/12,0)</f>
        <v>-1263.2083333333344</v>
      </c>
      <c r="BN258" s="23">
        <f t="shared" si="234"/>
        <v>-833.33333333333394</v>
      </c>
      <c r="BO258" s="23">
        <f t="shared" ref="BO258" si="585">BN258+BM258</f>
        <v>-2096.5416666666683</v>
      </c>
      <c r="BQ258" s="89">
        <f t="shared" ref="BQ258" si="586">BE258+$BQ$4</f>
        <v>8.610000000000001E-2</v>
      </c>
      <c r="BR258" s="23">
        <f>BR$5+SUM(BS$5:BS257)+SUM(R$5:R257)-SUM(S$5:S257)+SUM(BV$5:BV257)</f>
        <v>243390.24706842098</v>
      </c>
      <c r="BS258" s="22">
        <f t="shared" ref="BS258" si="587">IF(BU258&lt;0,BU258-BT258,0)</f>
        <v>-646.78339872618039</v>
      </c>
      <c r="BT258" s="22">
        <f t="shared" ref="BT258" si="588">IF(BU258&lt;0,-BR258*BQ258/12,0)</f>
        <v>-1746.3250227159208</v>
      </c>
      <c r="BU258" s="22">
        <f>IF(U258&lt;0,PMT(BQ258/12,Dane_kredytowe!F$13-SUM(AB$5:AB258)+1,BR258),0)</f>
        <v>-2393.1084214421012</v>
      </c>
      <c r="BV258" s="22">
        <f t="shared" si="243"/>
        <v>326.755048506202</v>
      </c>
      <c r="BX258" s="23">
        <f>BX$5+SUM(BZ$5:BZ257)+SUM(R$5:R257)-SUM(S$5:S257)+SUM(CB$5,CB257)</f>
        <v>152369.2048158767</v>
      </c>
      <c r="BY258" s="22">
        <f t="shared" ref="BY258" si="589">IF(AB258=1,-BQ258*BX258/12,0)</f>
        <v>-1093.2490445539154</v>
      </c>
      <c r="BZ258" s="22">
        <f t="shared" si="237"/>
        <v>-832.61860555123883</v>
      </c>
      <c r="CA258" s="22">
        <f t="shared" ref="CA258" si="590">BZ258+BY258</f>
        <v>-1925.8676501051541</v>
      </c>
      <c r="CB258" s="22">
        <f t="shared" ref="CB258" si="591">$F258-CA258</f>
        <v>-140.48572283074509</v>
      </c>
      <c r="CD258" s="22">
        <f>CD$5+SUM(CE$5:CE257)+SUM(R$5:R257)-SUM(S$5:S257)-SUM(CF$5:CF257)</f>
        <v>201491.79495115989</v>
      </c>
      <c r="CE258" s="22">
        <f t="shared" ref="CE258" si="592">IF(AB258=1,BQ258*BX258/12,0)</f>
        <v>1093.2490445539154</v>
      </c>
      <c r="CF258" s="22">
        <f t="shared" si="238"/>
        <v>2066.3533729358992</v>
      </c>
      <c r="CG258" s="22">
        <f t="shared" ref="CG258" si="593">CF258-CE258</f>
        <v>973.10432838198381</v>
      </c>
      <c r="CI258" s="89">
        <f t="shared" si="239"/>
        <v>3.44E-2</v>
      </c>
      <c r="CJ258" s="22">
        <f t="shared" si="240"/>
        <v>-71.08</v>
      </c>
      <c r="CK258" s="15">
        <f t="shared" si="246"/>
        <v>0</v>
      </c>
      <c r="CM258" s="22">
        <f t="shared" si="247"/>
        <v>-262256.15282690729</v>
      </c>
      <c r="CN258" s="15">
        <f t="shared" si="253"/>
        <v>-1516.7147505156138</v>
      </c>
    </row>
    <row r="259" spans="1:92">
      <c r="B259" s="80">
        <v>44986</v>
      </c>
      <c r="C259" s="81">
        <f t="shared" ref="C259" si="594">VLOOKUP(B259,Kursy,C$2)</f>
        <v>4.7408999999999999</v>
      </c>
      <c r="D259" s="82">
        <f t="shared" si="248"/>
        <v>4.883127</v>
      </c>
      <c r="E259" s="73">
        <f t="shared" ref="E259" si="595">Z259</f>
        <v>-422.51781338038467</v>
      </c>
      <c r="F259" s="19">
        <f t="shared" ref="F259" si="596">E259*D259</f>
        <v>-2063.2081424987177</v>
      </c>
      <c r="G259" s="19">
        <f t="shared" ref="G259" si="597">U259</f>
        <v>-1332.3809691474089</v>
      </c>
      <c r="H259" s="19">
        <f t="shared" ref="H259" si="598">G259-F259</f>
        <v>730.82717335130883</v>
      </c>
      <c r="I259" s="62"/>
      <c r="K259" s="15">
        <f>IF(B259&lt;=Dane_kredytowe!F$9,0,K258+1)</f>
        <v>179</v>
      </c>
      <c r="L259" s="83">
        <f t="shared" ref="L259" si="599">VLOOKUP(B259,Oproc,C$2)</f>
        <v>9.7920000000000004E-3</v>
      </c>
      <c r="M259" s="84">
        <f>L259+Dane_kredytowe!F$12</f>
        <v>3.9792000000000001E-2</v>
      </c>
      <c r="N259" s="79">
        <f>MAX(Dane_kredytowe!F$17+SUM(AA$5:AA258)-SUM(X$5:X259)+SUM(W$5:W259),0)</f>
        <v>57665.031836915063</v>
      </c>
      <c r="O259" s="85">
        <f>MAX(Dane_kredytowe!F$8+SUM(V$5:V258)-SUM(S$5:S259)+SUM(R$5:R258),0)</f>
        <v>181842.72608552693</v>
      </c>
      <c r="P259" s="67">
        <f t="shared" si="316"/>
        <v>360</v>
      </c>
      <c r="Q259" s="127" t="str">
        <f>IF(AND(K259&gt;0,K259&lt;=Dane_kredytowe!F$16),"tak","nie")</f>
        <v>nie</v>
      </c>
      <c r="R259" s="69"/>
      <c r="S259" s="86">
        <f>IF(Dane_kredytowe!F$19=B259,O258+V258,_xlfn.XLOOKUP(B259,Dane_kredytowe!M$9:M$18,Dane_kredytowe!N$9:N$18,0))</f>
        <v>0</v>
      </c>
      <c r="T259" s="71">
        <f t="shared" si="219"/>
        <v>-602.99047969960736</v>
      </c>
      <c r="U259" s="72">
        <f>IF(Q259="tak",T259,IF(P259-SUM(AB$5:AB259)+1&gt;0,IF(Dane_kredytowe!F$9&lt;B259,IF(SUM(AB$5:AB259)-Dane_kredytowe!F$16+1&gt;0,PMT(M259/12,P259+1-SUM(AB$5:AB259),O259),T259),0),0))</f>
        <v>-1332.3809691474089</v>
      </c>
      <c r="V259" s="72">
        <f t="shared" si="241"/>
        <v>-729.39048944780154</v>
      </c>
      <c r="W259" s="19" t="str">
        <f t="shared" si="242"/>
        <v xml:space="preserve"> </v>
      </c>
      <c r="X259" s="19">
        <f t="shared" si="266"/>
        <v>0</v>
      </c>
      <c r="Y259" s="73">
        <f t="shared" si="220"/>
        <v>-191.21724557121036</v>
      </c>
      <c r="Z259" s="19">
        <f>IF(P259-SUM(AB$5:AB259)+1&gt;0,IF(Dane_kredytowe!F$9&lt;B259,IF(SUM(AB$5:AB259)-Dane_kredytowe!F$16+1&gt;0,PMT(M259/12,P259+1-SUM(AB$5:AB259),N259),Y259),0),0)</f>
        <v>-422.51781338038467</v>
      </c>
      <c r="AA259" s="19">
        <f t="shared" ref="AA259" si="600">Z259-Y259</f>
        <v>-231.30056780917431</v>
      </c>
      <c r="AB259" s="20">
        <f>IF(AND(Dane_kredytowe!F$9&lt;B259,SUM(AB$5:AB258)&lt;P258),1," ")</f>
        <v>1</v>
      </c>
      <c r="AD259" s="75">
        <f>IF(OR(B259&lt;Dane_kredytowe!F$15,Dane_kredytowe!F$15=""),-F259+S259,0)</f>
        <v>0</v>
      </c>
      <c r="AE259" s="75">
        <f t="shared" si="221"/>
        <v>422.51781338038467</v>
      </c>
      <c r="AG259" s="22">
        <f>Dane_kredytowe!F$17-SUM(AI$5:AI258)+SUM(W$42:W259)-SUM(X$42:X259)</f>
        <v>48096.179999999986</v>
      </c>
      <c r="AH259" s="22">
        <f t="shared" si="222"/>
        <v>159.49</v>
      </c>
      <c r="AI259" s="22">
        <f t="shared" si="223"/>
        <v>264.26</v>
      </c>
      <c r="AJ259" s="22">
        <f t="shared" ref="AJ259" si="601">AI259+AH259</f>
        <v>423.75</v>
      </c>
      <c r="AK259" s="22">
        <f t="shared" si="224"/>
        <v>2069.23</v>
      </c>
      <c r="AL259" s="22">
        <f>Dane_kredytowe!F$8-SUM(AN$5:AN258)+SUM(R$42:R258)-SUM(S$42:S259)</f>
        <v>151666.97000000003</v>
      </c>
      <c r="AM259" s="22">
        <f t="shared" si="225"/>
        <v>502.93</v>
      </c>
      <c r="AN259" s="22">
        <f t="shared" si="226"/>
        <v>833.34</v>
      </c>
      <c r="AO259" s="22">
        <f t="shared" ref="AO259" si="602">AN259+AM259</f>
        <v>1336.27</v>
      </c>
      <c r="AP259" s="22">
        <f t="shared" ref="AP259" si="603">AK259-AO259</f>
        <v>732.96</v>
      </c>
      <c r="AR259" s="87">
        <f t="shared" si="227"/>
        <v>44986</v>
      </c>
      <c r="AS259" s="23">
        <f>AS$5+SUM(AV$5:AV258)-SUM(X$5:X259)+SUM(W$5:W259)</f>
        <v>84287.904925153838</v>
      </c>
      <c r="AT259" s="22">
        <f t="shared" si="228"/>
        <v>-279.49869273181014</v>
      </c>
      <c r="AU259" s="22">
        <f>IF(AB259=1,IF(Q259="tak",AT259,PMT(M259/12,P259+1-SUM(AB$5:AB259),AS259)),0)</f>
        <v>-617.58643234792271</v>
      </c>
      <c r="AV259" s="22">
        <f t="shared" ref="AV259" si="604">AU259-AT259</f>
        <v>-338.08773961611257</v>
      </c>
      <c r="AW259" s="22">
        <f t="shared" si="229"/>
        <v>-2927.9155171182665</v>
      </c>
      <c r="AY259" s="23">
        <f>AY$5+SUM(BA$5:BA258)+SUM(W$5:W258)-SUM(X$5:X258)</f>
        <v>70300.231437842071</v>
      </c>
      <c r="AZ259" s="23">
        <f t="shared" si="230"/>
        <v>-279.49869273181014</v>
      </c>
      <c r="BA259" s="23">
        <f t="shared" si="231"/>
        <v>-386.27</v>
      </c>
      <c r="BB259" s="23">
        <f t="shared" ref="BB259" si="605">BA259+AZ259</f>
        <v>-665.76869273181012</v>
      </c>
      <c r="BC259" s="23">
        <f t="shared" si="232"/>
        <v>-3156.3427953722385</v>
      </c>
      <c r="BE259" s="88">
        <f t="shared" si="233"/>
        <v>6.9400000000000003E-2</v>
      </c>
      <c r="BF259" s="89">
        <f>BE259+Dane_kredytowe!F$12</f>
        <v>9.9400000000000002E-2</v>
      </c>
      <c r="BG259" s="23">
        <f>BG$5+SUM(BH$5:BH258)+SUM(R$5:R258)-SUM(S$5:S258)</f>
        <v>212189.42728905461</v>
      </c>
      <c r="BH259" s="22">
        <f t="shared" ref="BH259" si="606">IF(BJ259&lt;0,BJ259-BI259,0)</f>
        <v>-503.9418013394079</v>
      </c>
      <c r="BI259" s="22">
        <f t="shared" ref="BI259" si="607">IF(BJ259&lt;0,-BG259*BF259/12,0)</f>
        <v>-1757.6357560443357</v>
      </c>
      <c r="BJ259" s="22">
        <f>IF(U259&lt;0,PMT(BF259/12,Dane_kredytowe!F$13-SUM(AB$5:AB259)+1,BG259),0)</f>
        <v>-2261.5775573837436</v>
      </c>
      <c r="BL259" s="23">
        <f>BL$5+SUM(BN$5:BN258)+SUM(R$5:R258)-SUM(S$5:S258)</f>
        <v>151666.66666666677</v>
      </c>
      <c r="BM259" s="23">
        <f t="shared" ref="BM259" si="608">IF(AB259=1,-BF259*BL259/12,0)</f>
        <v>-1256.3055555555563</v>
      </c>
      <c r="BN259" s="23">
        <f t="shared" si="234"/>
        <v>-833.33333333333394</v>
      </c>
      <c r="BO259" s="23">
        <f t="shared" ref="BO259" si="609">BN259+BM259</f>
        <v>-2089.6388888888905</v>
      </c>
      <c r="BQ259" s="89">
        <f t="shared" ref="BQ259" si="610">BE259+$BQ$4</f>
        <v>8.610000000000001E-2</v>
      </c>
      <c r="BR259" s="23">
        <f>BR$5+SUM(BS$5:BS258)+SUM(R$5:R258)-SUM(S$5:S258)+SUM(BV$5:BV258)</f>
        <v>243070.21871820101</v>
      </c>
      <c r="BS259" s="22">
        <f t="shared" ref="BS259" si="611">IF(BU259&lt;0,BU259-BT259,0)</f>
        <v>-652.30094637834486</v>
      </c>
      <c r="BT259" s="22">
        <f t="shared" ref="BT259" si="612">IF(BU259&lt;0,-BR259*BQ259/12,0)</f>
        <v>-1744.0288193030926</v>
      </c>
      <c r="BU259" s="22">
        <f>IF(U259&lt;0,PMT(BQ259/12,Dane_kredytowe!F$13-SUM(AB$5:AB259)+1,BR259),0)</f>
        <v>-2396.3297656814375</v>
      </c>
      <c r="BV259" s="22">
        <f t="shared" si="243"/>
        <v>333.12162318271976</v>
      </c>
      <c r="BX259" s="23">
        <f>BX$5+SUM(BZ$5:BZ258)+SUM(R$5:R258)-SUM(S$5:S258)+SUM(CB$5,CB258)</f>
        <v>151475.74399402816</v>
      </c>
      <c r="BY259" s="22">
        <f t="shared" ref="BY259" si="613">IF(AB259=1,-BQ259*BX259/12,0)</f>
        <v>-1086.8384631571523</v>
      </c>
      <c r="BZ259" s="22">
        <f t="shared" si="237"/>
        <v>-832.28430765949543</v>
      </c>
      <c r="CA259" s="22">
        <f t="shared" ref="CA259" si="614">BZ259+BY259</f>
        <v>-1919.1227708166477</v>
      </c>
      <c r="CB259" s="22">
        <f t="shared" ref="CB259" si="615">$F259-CA259</f>
        <v>-144.08537168206999</v>
      </c>
      <c r="CD259" s="22">
        <f>CD$5+SUM(CE$5:CE258)+SUM(R$5:R258)-SUM(S$5:S258)-SUM(CF$5:CF258)</f>
        <v>200518.69062277797</v>
      </c>
      <c r="CE259" s="22">
        <f t="shared" ref="CE259" si="616">IF(AB259=1,BQ259*BX259/12,0)</f>
        <v>1086.8384631571523</v>
      </c>
      <c r="CF259" s="22">
        <f t="shared" si="238"/>
        <v>2063.2081424987177</v>
      </c>
      <c r="CG259" s="22">
        <f t="shared" ref="CG259" si="617">CF259-CE259</f>
        <v>976.36967934156542</v>
      </c>
      <c r="CI259" s="89">
        <f t="shared" si="239"/>
        <v>3.44E-2</v>
      </c>
      <c r="CJ259" s="22">
        <f t="shared" si="240"/>
        <v>-70.97</v>
      </c>
      <c r="CK259" s="15">
        <f t="shared" si="246"/>
        <v>0</v>
      </c>
      <c r="CM259" s="22">
        <f t="shared" si="247"/>
        <v>-264319.36096940603</v>
      </c>
      <c r="CN259" s="15">
        <f t="shared" si="253"/>
        <v>-1528.6469709397315</v>
      </c>
    </row>
    <row r="260" spans="1:92">
      <c r="B260" s="80">
        <v>45017</v>
      </c>
      <c r="C260" s="81">
        <f t="shared" ref="C260" si="618">VLOOKUP(B260,Kursy,C$2)</f>
        <v>4.7102000000000004</v>
      </c>
      <c r="D260" s="82">
        <f t="shared" si="248"/>
        <v>4.8515060000000005</v>
      </c>
      <c r="E260" s="73">
        <f t="shared" ref="E260" si="619">Z260</f>
        <v>-422.51781338038478</v>
      </c>
      <c r="F260" s="19">
        <f t="shared" ref="F260" si="620">E260*D260</f>
        <v>-2049.8477067218173</v>
      </c>
      <c r="G260" s="19">
        <f t="shared" ref="G260" si="621">U260</f>
        <v>-1332.3809691474091</v>
      </c>
      <c r="H260" s="19">
        <f t="shared" ref="H260" si="622">G260-F260</f>
        <v>717.46673757440817</v>
      </c>
      <c r="I260" s="62"/>
      <c r="K260" s="15">
        <f>IF(B260&lt;=Dane_kredytowe!F$9,0,K259+1)</f>
        <v>180</v>
      </c>
      <c r="L260" s="83">
        <f t="shared" ref="L260" si="623">VLOOKUP(B260,Oproc,C$2)</f>
        <v>9.7920000000000004E-3</v>
      </c>
      <c r="M260" s="84">
        <f>L260+Dane_kredytowe!F$12</f>
        <v>3.9792000000000001E-2</v>
      </c>
      <c r="N260" s="79">
        <f>MAX(Dane_kredytowe!F$17+SUM(AA$5:AA259)-SUM(X$5:X260)+SUM(W$5:W260),0)</f>
        <v>57433.731269105891</v>
      </c>
      <c r="O260" s="85">
        <f>MAX(Dane_kredytowe!F$8+SUM(V$5:V259)-SUM(S$5:S260)+SUM(R$5:R259),0)</f>
        <v>181113.33559607912</v>
      </c>
      <c r="P260" s="67">
        <f t="shared" si="316"/>
        <v>360</v>
      </c>
      <c r="Q260" s="127" t="str">
        <f>IF(AND(K260&gt;0,K260&lt;=Dane_kredytowe!F$16),"tak","nie")</f>
        <v>nie</v>
      </c>
      <c r="R260" s="69"/>
      <c r="S260" s="86">
        <f>IF(Dane_kredytowe!F$19=B260,O259+V259,_xlfn.XLOOKUP(B260,Dane_kredytowe!M$9:M$18,Dane_kredytowe!N$9:N$18,0))</f>
        <v>0</v>
      </c>
      <c r="T260" s="71">
        <f t="shared" si="219"/>
        <v>-600.57182083659836</v>
      </c>
      <c r="U260" s="72">
        <f>IF(Q260="tak",T260,IF(P260-SUM(AB$5:AB260)+1&gt;0,IF(Dane_kredytowe!F$9&lt;B260,IF(SUM(AB$5:AB260)-Dane_kredytowe!F$16+1&gt;0,PMT(M260/12,P260+1-SUM(AB$5:AB260),O260),T260),0),0))</f>
        <v>-1332.3809691474091</v>
      </c>
      <c r="V260" s="72">
        <f t="shared" si="241"/>
        <v>-731.80914831081077</v>
      </c>
      <c r="W260" s="19" t="str">
        <f t="shared" si="242"/>
        <v xml:space="preserve"> </v>
      </c>
      <c r="X260" s="19">
        <f t="shared" si="266"/>
        <v>0</v>
      </c>
      <c r="Y260" s="73">
        <f t="shared" si="220"/>
        <v>-190.45025288835515</v>
      </c>
      <c r="Z260" s="19">
        <f>IF(P260-SUM(AB$5:AB260)+1&gt;0,IF(Dane_kredytowe!F$9&lt;B260,IF(SUM(AB$5:AB260)-Dane_kredytowe!F$16+1&gt;0,PMT(M260/12,P260+1-SUM(AB$5:AB260),N260),Y260),0),0)</f>
        <v>-422.51781338038478</v>
      </c>
      <c r="AA260" s="19">
        <f t="shared" ref="AA260" si="624">Z260-Y260</f>
        <v>-232.06756049202963</v>
      </c>
      <c r="AB260" s="20">
        <f>IF(AND(Dane_kredytowe!F$9&lt;B260,SUM(AB$5:AB259)&lt;P259),1," ")</f>
        <v>1</v>
      </c>
      <c r="AD260" s="75">
        <f>IF(OR(B260&lt;Dane_kredytowe!F$15,Dane_kredytowe!F$15=""),-F260+S260,0)</f>
        <v>0</v>
      </c>
      <c r="AE260" s="75">
        <f t="shared" si="221"/>
        <v>422.51781338038478</v>
      </c>
      <c r="AG260" s="22">
        <f>Dane_kredytowe!F$17-SUM(AI$5:AI259)+SUM(W$42:W260)-SUM(X$42:X260)</f>
        <v>47831.919999999984</v>
      </c>
      <c r="AH260" s="22">
        <f t="shared" si="222"/>
        <v>158.61000000000001</v>
      </c>
      <c r="AI260" s="22">
        <f t="shared" si="223"/>
        <v>264.26</v>
      </c>
      <c r="AJ260" s="22">
        <f t="shared" ref="AJ260" si="625">AI260+AH260</f>
        <v>422.87</v>
      </c>
      <c r="AK260" s="22">
        <f t="shared" si="224"/>
        <v>2051.56</v>
      </c>
      <c r="AL260" s="22">
        <f>Dane_kredytowe!F$8-SUM(AN$5:AN259)+SUM(R$42:R259)-SUM(S$42:S260)</f>
        <v>150833.63000000003</v>
      </c>
      <c r="AM260" s="22">
        <f t="shared" si="225"/>
        <v>500.16</v>
      </c>
      <c r="AN260" s="22">
        <f t="shared" si="226"/>
        <v>833.33</v>
      </c>
      <c r="AO260" s="22">
        <f t="shared" ref="AO260" si="626">AN260+AM260</f>
        <v>1333.49</v>
      </c>
      <c r="AP260" s="22">
        <f t="shared" ref="AP260" si="627">AK260-AO260</f>
        <v>718.06999999999994</v>
      </c>
      <c r="AR260" s="87">
        <f t="shared" si="227"/>
        <v>45017</v>
      </c>
      <c r="AS260" s="23">
        <f>AS$5+SUM(AV$5:AV259)-SUM(X$5:X260)+SUM(W$5:W260)</f>
        <v>83949.817185537715</v>
      </c>
      <c r="AT260" s="22">
        <f t="shared" si="228"/>
        <v>-278.37759378724309</v>
      </c>
      <c r="AU260" s="22">
        <f>IF(AB260=1,IF(Q260="tak",AT260,PMT(M260/12,P260+1-SUM(AB$5:AB260),AS260)),0)</f>
        <v>-617.58643234792271</v>
      </c>
      <c r="AV260" s="22">
        <f t="shared" ref="AV260" si="628">AU260-AT260</f>
        <v>-339.20883856067962</v>
      </c>
      <c r="AW260" s="22">
        <f t="shared" si="229"/>
        <v>-2908.9556136451856</v>
      </c>
      <c r="AY260" s="23">
        <f>AY$5+SUM(BA$5:BA259)+SUM(W$5:W259)-SUM(X$5:X259)</f>
        <v>69913.961437842067</v>
      </c>
      <c r="AZ260" s="23">
        <f t="shared" si="230"/>
        <v>-278.37759378724309</v>
      </c>
      <c r="BA260" s="23">
        <f t="shared" si="231"/>
        <v>-386.26</v>
      </c>
      <c r="BB260" s="23">
        <f t="shared" ref="BB260" si="629">BA260+AZ260</f>
        <v>-664.63759378724308</v>
      </c>
      <c r="BC260" s="23">
        <f t="shared" si="232"/>
        <v>-3130.5759942566724</v>
      </c>
      <c r="BE260" s="88">
        <f t="shared" si="233"/>
        <v>6.9000000000000006E-2</v>
      </c>
      <c r="BF260" s="89">
        <f>BE260+Dane_kredytowe!F$12</f>
        <v>9.9000000000000005E-2</v>
      </c>
      <c r="BG260" s="23">
        <f>BG$5+SUM(BH$5:BH259)+SUM(R$5:R259)-SUM(S$5:S259)</f>
        <v>211685.48548771522</v>
      </c>
      <c r="BH260" s="22">
        <f t="shared" ref="BH260" si="630">IF(BJ260&lt;0,BJ260-BI260,0)</f>
        <v>-509.99571140252306</v>
      </c>
      <c r="BI260" s="22">
        <f t="shared" ref="BI260" si="631">IF(BJ260&lt;0,-BG260*BF260/12,0)</f>
        <v>-1746.4052552736505</v>
      </c>
      <c r="BJ260" s="22">
        <f>IF(U260&lt;0,PMT(BF260/12,Dane_kredytowe!F$13-SUM(AB$5:AB260)+1,BG260),0)</f>
        <v>-2256.4009666761735</v>
      </c>
      <c r="BL260" s="23">
        <f>BL$5+SUM(BN$5:BN259)+SUM(R$5:R259)-SUM(S$5:S259)</f>
        <v>150833.33333333343</v>
      </c>
      <c r="BM260" s="23">
        <f t="shared" ref="BM260" si="632">IF(AB260=1,-BF260*BL260/12,0)</f>
        <v>-1244.3750000000009</v>
      </c>
      <c r="BN260" s="23">
        <f t="shared" si="234"/>
        <v>-833.33333333333383</v>
      </c>
      <c r="BO260" s="23">
        <f t="shared" ref="BO260" si="633">BN260+BM260</f>
        <v>-2077.7083333333348</v>
      </c>
      <c r="BQ260" s="89">
        <f t="shared" ref="BQ260" si="634">BE260+$BQ$4</f>
        <v>8.5699999999999998E-2</v>
      </c>
      <c r="BR260" s="23">
        <f>BR$5+SUM(BS$5:BS259)+SUM(R$5:R259)-SUM(S$5:S259)+SUM(BV$5:BV259)</f>
        <v>242751.03939500538</v>
      </c>
      <c r="BS260" s="22">
        <f t="shared" ref="BS260" si="635">IF(BU260&lt;0,BU260-BT260,0)</f>
        <v>-660.26057074483538</v>
      </c>
      <c r="BT260" s="22">
        <f t="shared" ref="BT260" si="636">IF(BU260&lt;0,-BR260*BQ260/12,0)</f>
        <v>-1733.6470063459967</v>
      </c>
      <c r="BU260" s="22">
        <f>IF(U260&lt;0,PMT(BQ260/12,Dane_kredytowe!F$13-SUM(AB$5:AB260)+1,BR260),0)</f>
        <v>-2393.9075770908321</v>
      </c>
      <c r="BV260" s="22">
        <f t="shared" si="243"/>
        <v>344.05987036901479</v>
      </c>
      <c r="BX260" s="23">
        <f>BX$5+SUM(BZ$5:BZ259)+SUM(R$5:R259)-SUM(S$5:S259)+SUM(CB$5,CB259)</f>
        <v>150639.86003751736</v>
      </c>
      <c r="BY260" s="22">
        <f t="shared" ref="BY260" si="637">IF(AB260=1,-BQ260*BX260/12,0)</f>
        <v>-1075.8196671012697</v>
      </c>
      <c r="BZ260" s="22">
        <f t="shared" si="237"/>
        <v>-832.26442009678101</v>
      </c>
      <c r="CA260" s="22">
        <f t="shared" ref="CA260" si="638">BZ260+BY260</f>
        <v>-1908.0840871980508</v>
      </c>
      <c r="CB260" s="22">
        <f t="shared" ref="CB260" si="639">$F260-CA260</f>
        <v>-141.76361952376647</v>
      </c>
      <c r="CD260" s="22">
        <f>CD$5+SUM(CE$5:CE259)+SUM(R$5:R259)-SUM(S$5:S259)-SUM(CF$5:CF259)</f>
        <v>199542.32094343635</v>
      </c>
      <c r="CE260" s="22">
        <f t="shared" ref="CE260" si="640">IF(AB260=1,BQ260*BX260/12,0)</f>
        <v>1075.8196671012697</v>
      </c>
      <c r="CF260" s="22">
        <f t="shared" si="238"/>
        <v>2049.8477067218173</v>
      </c>
      <c r="CG260" s="22">
        <f t="shared" ref="CG260" si="641">CF260-CE260</f>
        <v>974.02803962054759</v>
      </c>
      <c r="CI260" s="89">
        <f t="shared" si="239"/>
        <v>3.44E-2</v>
      </c>
      <c r="CJ260" s="22">
        <f t="shared" si="240"/>
        <v>-70.510000000000005</v>
      </c>
      <c r="CK260" s="15">
        <f t="shared" si="246"/>
        <v>0</v>
      </c>
      <c r="CM260" s="22">
        <f t="shared" si="247"/>
        <v>-266369.20867612783</v>
      </c>
      <c r="CN260" s="15">
        <f t="shared" si="253"/>
        <v>-1531.6229498877353</v>
      </c>
    </row>
    <row r="261" spans="1:92">
      <c r="B261" s="80">
        <v>45047</v>
      </c>
      <c r="C261" s="81">
        <f t="shared" ref="C261" si="642">VLOOKUP(B261,Kursy,C$2)</f>
        <v>4.6548999999999996</v>
      </c>
      <c r="D261" s="82">
        <f t="shared" si="248"/>
        <v>4.7945469999999997</v>
      </c>
      <c r="E261" s="73">
        <f t="shared" ref="E261" si="643">Z261</f>
        <v>-426.89602392522551</v>
      </c>
      <c r="F261" s="19">
        <f t="shared" ref="F261" si="644">E261*D261</f>
        <v>-2046.773050822618</v>
      </c>
      <c r="G261" s="19">
        <f t="shared" ref="G261" si="645">U261</f>
        <v>-1346.1873560597039</v>
      </c>
      <c r="H261" s="19">
        <f t="shared" ref="H261" si="646">G261-F261</f>
        <v>700.58569476291404</v>
      </c>
      <c r="I261" s="62"/>
      <c r="K261" s="15">
        <f>IF(B261&lt;=Dane_kredytowe!F$9,0,K260+1)</f>
        <v>181</v>
      </c>
      <c r="L261" s="83">
        <f t="shared" ref="L261" si="647">VLOOKUP(B261,Oproc,C$2)</f>
        <v>1.1316E-2</v>
      </c>
      <c r="M261" s="84">
        <f>L261+Dane_kredytowe!F$12</f>
        <v>4.1315999999999999E-2</v>
      </c>
      <c r="N261" s="79">
        <f>MAX(Dane_kredytowe!F$17+SUM(AA$5:AA260)-SUM(X$5:X261)+SUM(W$5:W261),0)</f>
        <v>57201.663708613858</v>
      </c>
      <c r="O261" s="85">
        <f>MAX(Dane_kredytowe!F$8+SUM(V$5:V260)-SUM(S$5:S261)+SUM(R$5:R260),0)</f>
        <v>180381.52644776832</v>
      </c>
      <c r="P261" s="67">
        <f t="shared" si="316"/>
        <v>360</v>
      </c>
      <c r="Q261" s="127" t="str">
        <f>IF(AND(K261&gt;0,K261&lt;=Dane_kredytowe!F$16),"tak","nie")</f>
        <v>nie</v>
      </c>
      <c r="R261" s="69"/>
      <c r="S261" s="86">
        <f>IF(Dane_kredytowe!F$19=B261,O260+V260,_xlfn.XLOOKUP(B261,Dane_kredytowe!M$9:M$18,Dane_kredytowe!N$9:N$18,0))</f>
        <v>0</v>
      </c>
      <c r="T261" s="71">
        <f t="shared" ref="T261:T271" si="648">IF(AB261=1,-O261*M261/12,0)</f>
        <v>-621.05359555966629</v>
      </c>
      <c r="U261" s="72">
        <f>IF(Q261="tak",T261,IF(P261-SUM(AB$5:AB261)+1&gt;0,IF(Dane_kredytowe!F$9&lt;B261,IF(SUM(AB$5:AB261)-Dane_kredytowe!F$16+1&gt;0,PMT(M261/12,P261+1-SUM(AB$5:AB261),O261),T261),0),0))</f>
        <v>-1346.1873560597039</v>
      </c>
      <c r="V261" s="72">
        <f t="shared" si="241"/>
        <v>-725.13376050003762</v>
      </c>
      <c r="W261" s="19" t="str">
        <f t="shared" si="242"/>
        <v xml:space="preserve"> </v>
      </c>
      <c r="X261" s="19">
        <f t="shared" si="266"/>
        <v>0</v>
      </c>
      <c r="Y261" s="73">
        <f t="shared" ref="Y261:Y271" si="649">IF(AB261=1,-N261*M261/12,0)</f>
        <v>-196.94532814875751</v>
      </c>
      <c r="Z261" s="19">
        <f>IF(P261-SUM(AB$5:AB261)+1&gt;0,IF(Dane_kredytowe!F$9&lt;B261,IF(SUM(AB$5:AB261)-Dane_kredytowe!F$16+1&gt;0,PMT(M261/12,P261+1-SUM(AB$5:AB261),N261),Y261),0),0)</f>
        <v>-426.89602392522551</v>
      </c>
      <c r="AA261" s="19">
        <f t="shared" ref="AA261" si="650">Z261-Y261</f>
        <v>-229.950695776468</v>
      </c>
      <c r="AB261" s="20">
        <f>IF(AND(Dane_kredytowe!F$9&lt;B261,SUM(AB$5:AB260)&lt;P260),1," ")</f>
        <v>1</v>
      </c>
      <c r="AD261" s="75">
        <f>IF(OR(B261&lt;Dane_kredytowe!F$15,Dane_kredytowe!F$15=""),-F261+S261,0)</f>
        <v>0</v>
      </c>
      <c r="AE261" s="75">
        <f t="shared" ref="AE261:AE271" si="651">IF(AD261=0,-E261+X261,0)</f>
        <v>426.89602392522551</v>
      </c>
      <c r="AG261" s="22">
        <f>Dane_kredytowe!F$17-SUM(AI$5:AI260)+SUM(W$42:W261)-SUM(X$42:X261)</f>
        <v>47567.659999999982</v>
      </c>
      <c r="AH261" s="22">
        <f t="shared" ref="AH261:AH271" si="652">IF(AB261=1,ROUND(AG261*M261/12,2),0)</f>
        <v>163.78</v>
      </c>
      <c r="AI261" s="22">
        <f t="shared" ref="AI261:AI271" si="653">IF(Q261="tak",0,IF(AB261=1,ROUND(AG261/(P261-K261+1),2),0))</f>
        <v>264.26</v>
      </c>
      <c r="AJ261" s="22">
        <f t="shared" ref="AJ261" si="654">AI261+AH261</f>
        <v>428.03999999999996</v>
      </c>
      <c r="AK261" s="22">
        <f t="shared" ref="AK261:AK271" si="655">ROUND(AJ261*D261,2)</f>
        <v>2052.2600000000002</v>
      </c>
      <c r="AL261" s="22">
        <f>Dane_kredytowe!F$8-SUM(AN$5:AN260)+SUM(R$42:R260)-SUM(S$42:S261)</f>
        <v>150000.30000000005</v>
      </c>
      <c r="AM261" s="22">
        <f t="shared" ref="AM261:AM271" si="656">IF(AB261=1,ROUND(AL261*M261/12,2),0)</f>
        <v>516.45000000000005</v>
      </c>
      <c r="AN261" s="22">
        <f t="shared" ref="AN261:AN271" si="657">IF(Q261="tak",0,IF(AB261=1,ROUND(AL261/(P261-K261+1),2),0))</f>
        <v>833.34</v>
      </c>
      <c r="AO261" s="22">
        <f t="shared" ref="AO261" si="658">AN261+AM261</f>
        <v>1349.79</v>
      </c>
      <c r="AP261" s="22">
        <f t="shared" ref="AP261" si="659">AK261-AO261</f>
        <v>702.47000000000025</v>
      </c>
      <c r="AR261" s="87">
        <f t="shared" ref="AR261:AR271" si="660">B261</f>
        <v>45047</v>
      </c>
      <c r="AS261" s="23">
        <f>AS$5+SUM(AV$5:AV260)-SUM(X$5:X261)+SUM(W$5:W261)</f>
        <v>83610.608346977038</v>
      </c>
      <c r="AT261" s="22">
        <f t="shared" ref="AT261:AT271" si="661">IF(AB261=1,-AS261*M261/12,0)</f>
        <v>-287.87132453864194</v>
      </c>
      <c r="AU261" s="22">
        <f>IF(AB261=1,IF(Q261="tak",AT261,PMT(M261/12,P261+1-SUM(AB$5:AB261),AS261)),0)</f>
        <v>-623.98598130142921</v>
      </c>
      <c r="AV261" s="22">
        <f t="shared" ref="AV261" si="662">AU261-AT261</f>
        <v>-336.11465676278726</v>
      </c>
      <c r="AW261" s="22">
        <f t="shared" ref="AW261:AW271" si="663">AU261*C261</f>
        <v>-2904.5923443600227</v>
      </c>
      <c r="AY261" s="23">
        <f>AY$5+SUM(BA$5:BA260)+SUM(W$5:W260)-SUM(X$5:X260)</f>
        <v>69527.701437842072</v>
      </c>
      <c r="AZ261" s="23">
        <f t="shared" ref="AZ261:AZ271" si="664">IF(AB261=1,-AS261*M261/12,0)</f>
        <v>-287.87132453864194</v>
      </c>
      <c r="BA261" s="23">
        <f t="shared" ref="BA261:BA271" si="665">IF(AB261=1,IF(Q261="tak",0,ROUND(-AY261/(P261-K261+1),2)),0)</f>
        <v>-386.27</v>
      </c>
      <c r="BB261" s="23">
        <f t="shared" ref="BB261" si="666">BA261+AZ261</f>
        <v>-674.14132453864192</v>
      </c>
      <c r="BC261" s="23">
        <f t="shared" ref="BC261:BC271" si="667">BB261*C261</f>
        <v>-3138.060451594924</v>
      </c>
      <c r="BE261" s="88">
        <f t="shared" ref="BE261:BE271" si="668">VLOOKUP(B261,Oproc,5)</f>
        <v>6.8995000000000001E-2</v>
      </c>
      <c r="BF261" s="89">
        <f>BE261+Dane_kredytowe!F$12</f>
        <v>9.8995E-2</v>
      </c>
      <c r="BG261" s="23">
        <f>BG$5+SUM(BH$5:BH260)+SUM(R$5:R260)-SUM(S$5:S260)</f>
        <v>211175.48977631272</v>
      </c>
      <c r="BH261" s="22">
        <f t="shared" ref="BH261" si="669">IF(BJ261&lt;0,BJ261-BI261,0)</f>
        <v>-514.22674553079446</v>
      </c>
      <c r="BI261" s="22">
        <f t="shared" ref="BI261" si="670">IF(BJ261&lt;0,-BG261*BF261/12,0)</f>
        <v>-1742.1098008671731</v>
      </c>
      <c r="BJ261" s="22">
        <f>IF(U261&lt;0,PMT(BF261/12,Dane_kredytowe!F$13-SUM(AB$5:AB261)+1,BG261),0)</f>
        <v>-2256.3365463979676</v>
      </c>
      <c r="BL261" s="23">
        <f>BL$5+SUM(BN$5:BN260)+SUM(R$5:R260)-SUM(S$5:S260)</f>
        <v>150000.00000000009</v>
      </c>
      <c r="BM261" s="23">
        <f t="shared" ref="BM261" si="671">IF(AB261=1,-BF261*BL261/12,0)</f>
        <v>-1237.4375000000007</v>
      </c>
      <c r="BN261" s="23">
        <f t="shared" ref="BN261:BN271" si="672">IF(AB261=1,-BL261/(P261-K261+1),0)</f>
        <v>-833.33333333333383</v>
      </c>
      <c r="BO261" s="23">
        <f t="shared" ref="BO261" si="673">BN261+BM261</f>
        <v>-2070.7708333333344</v>
      </c>
      <c r="BQ261" s="89">
        <f t="shared" ref="BQ261" si="674">BE261+$BQ$4</f>
        <v>8.5694999999999993E-2</v>
      </c>
      <c r="BR261" s="23">
        <f>BR$5+SUM(BS$5:BS260)+SUM(R$5:R260)-SUM(S$5:S260)+SUM(BV$5:BV260)</f>
        <v>242434.83869462958</v>
      </c>
      <c r="BS261" s="22">
        <f t="shared" ref="BS261" si="675">IF(BU261&lt;0,BU261-BT261,0)</f>
        <v>-665.95080839411025</v>
      </c>
      <c r="BT261" s="22">
        <f t="shared" ref="BT261" si="676">IF(BU261&lt;0,-BR261*BQ261/12,0)</f>
        <v>-1731.2877918280235</v>
      </c>
      <c r="BU261" s="22">
        <f>IF(U261&lt;0,PMT(BQ261/12,Dane_kredytowe!F$13-SUM(AB$5:AB261)+1,BR261),0)</f>
        <v>-2397.2386002221338</v>
      </c>
      <c r="BV261" s="22">
        <f t="shared" si="243"/>
        <v>350.46554939951579</v>
      </c>
      <c r="BX261" s="23">
        <f>BX$5+SUM(BZ$5:BZ260)+SUM(R$5:R260)-SUM(S$5:S260)+SUM(CB$5,CB260)</f>
        <v>149809.91736957888</v>
      </c>
      <c r="BY261" s="22">
        <f t="shared" ref="BY261" si="677">IF(AB261=1,-BQ261*BX261/12,0)</f>
        <v>-1069.8300724155051</v>
      </c>
      <c r="BZ261" s="22">
        <f t="shared" ref="BZ261:BZ271" si="678">IF(AB261=1,-BX261/(P261-K261+1),0)</f>
        <v>-832.2773187198826</v>
      </c>
      <c r="CA261" s="22">
        <f t="shared" ref="CA261" si="679">BZ261+BY261</f>
        <v>-1902.1073911353878</v>
      </c>
      <c r="CB261" s="22">
        <f t="shared" ref="CB261" si="680">$F261-CA261</f>
        <v>-144.66565968723012</v>
      </c>
      <c r="CD261" s="22">
        <f>CD$5+SUM(CE$5:CE260)+SUM(R$5:R260)-SUM(S$5:S260)-SUM(CF$5:CF260)</f>
        <v>198568.2929038158</v>
      </c>
      <c r="CE261" s="22">
        <f t="shared" ref="CE261" si="681">IF(AB261=1,BQ261*BX261/12,0)</f>
        <v>1069.8300724155051</v>
      </c>
      <c r="CF261" s="22">
        <f t="shared" ref="CF261:CF271" si="682">-F261</f>
        <v>2046.773050822618</v>
      </c>
      <c r="CG261" s="22">
        <f t="shared" ref="CG261" si="683">CF261-CE261</f>
        <v>976.94297840711283</v>
      </c>
      <c r="CI261" s="89">
        <f t="shared" ref="CI261:CI271" si="684">VLOOKUP(B261,Inflacja,2)</f>
        <v>3.44E-2</v>
      </c>
      <c r="CJ261" s="22">
        <f t="shared" ref="CJ261:CJ271" si="685">ROUND(CI261*(F261-S261),2)</f>
        <v>-70.41</v>
      </c>
      <c r="CK261" s="15">
        <f t="shared" si="246"/>
        <v>0</v>
      </c>
      <c r="CM261" s="22">
        <f t="shared" si="247"/>
        <v>-268415.98172695044</v>
      </c>
      <c r="CN261" s="15">
        <f t="shared" si="253"/>
        <v>-1543.2800549375788</v>
      </c>
    </row>
    <row r="262" spans="1:92">
      <c r="B262" s="80">
        <v>45078</v>
      </c>
      <c r="C262" s="81">
        <f t="shared" ref="C262:C263" si="686">VLOOKUP(B262,Kursy,C$2)</f>
        <v>4.5777000000000001</v>
      </c>
      <c r="D262" s="82">
        <f t="shared" si="248"/>
        <v>4.7150310000000006</v>
      </c>
      <c r="E262" s="73">
        <f t="shared" ref="E262:E263" si="687">Z262</f>
        <v>-431.59069473033071</v>
      </c>
      <c r="F262" s="19">
        <f t="shared" ref="F262:F263" si="688">E262*D262</f>
        <v>-2034.9635049650462</v>
      </c>
      <c r="G262" s="19">
        <f t="shared" ref="G262:G263" si="689">U262</f>
        <v>-1360.9916787155694</v>
      </c>
      <c r="H262" s="19">
        <f t="shared" ref="H262:H263" si="690">G262-F262</f>
        <v>673.97182624947686</v>
      </c>
      <c r="I262" s="62"/>
      <c r="K262" s="15">
        <f>IF(B262&lt;=Dane_kredytowe!F$9,0,K261+1)</f>
        <v>182</v>
      </c>
      <c r="L262" s="83">
        <f t="shared" ref="L262:L263" si="691">VLOOKUP(B262,Oproc,C$2)</f>
        <v>1.2948000000000001E-2</v>
      </c>
      <c r="M262" s="84">
        <f>L262+Dane_kredytowe!F$12</f>
        <v>4.2948E-2</v>
      </c>
      <c r="N262" s="79">
        <f>MAX(Dane_kredytowe!F$17+SUM(AA$5:AA261)-SUM(X$5:X262)+SUM(W$5:W262),0)</f>
        <v>56971.71301283739</v>
      </c>
      <c r="O262" s="85">
        <f>MAX(Dane_kredytowe!F$8+SUM(V$5:V261)-SUM(S$5:S262)+SUM(R$5:R261),0)</f>
        <v>179656.39268726826</v>
      </c>
      <c r="P262" s="67">
        <f t="shared" si="316"/>
        <v>360</v>
      </c>
      <c r="Q262" s="127" t="str">
        <f>IF(AND(K262&gt;0,K262&lt;=Dane_kredytowe!F$16),"tak","nie")</f>
        <v>nie</v>
      </c>
      <c r="R262" s="69"/>
      <c r="S262" s="86">
        <f>IF(Dane_kredytowe!F$19=B262,O261+V261,_xlfn.XLOOKUP(B262,Dane_kredytowe!M$9:M$18,Dane_kredytowe!N$9:N$18,0))</f>
        <v>0</v>
      </c>
      <c r="T262" s="71">
        <f t="shared" si="648"/>
        <v>-642.99022942773308</v>
      </c>
      <c r="U262" s="72">
        <f>IF(Q262="tak",T262,IF(P262-SUM(AB$5:AB262)+1&gt;0,IF(Dane_kredytowe!F$9&lt;B262,IF(SUM(AB$5:AB262)-Dane_kredytowe!F$16+1&gt;0,PMT(M262/12,P262+1-SUM(AB$5:AB262),O262),T262),0),0))</f>
        <v>-1360.9916787155694</v>
      </c>
      <c r="V262" s="72">
        <f t="shared" ref="V262:V271" si="692">U262-T262</f>
        <v>-718.00144928783629</v>
      </c>
      <c r="W262" s="19" t="str">
        <f t="shared" ref="W262:W270" si="693">IF(R262&gt;0,R262/(C262*(1-$J$1))," ")</f>
        <v xml:space="preserve"> </v>
      </c>
      <c r="X262" s="19">
        <f t="shared" si="266"/>
        <v>0</v>
      </c>
      <c r="Y262" s="73">
        <f t="shared" si="649"/>
        <v>-203.90176087294503</v>
      </c>
      <c r="Z262" s="19">
        <f>IF(P262-SUM(AB$5:AB262)+1&gt;0,IF(Dane_kredytowe!F$9&lt;B262,IF(SUM(AB$5:AB262)-Dane_kredytowe!F$16+1&gt;0,PMT(M262/12,P262+1-SUM(AB$5:AB262),N262),Y262),0),0)</f>
        <v>-431.59069473033071</v>
      </c>
      <c r="AA262" s="19">
        <f t="shared" ref="AA262:AA263" si="694">Z262-Y262</f>
        <v>-227.68893385738568</v>
      </c>
      <c r="AB262" s="20">
        <f>IF(AND(Dane_kredytowe!F$9&lt;B262,SUM(AB$5:AB261)&lt;P261),1," ")</f>
        <v>1</v>
      </c>
      <c r="AD262" s="75">
        <f>IF(OR(B262&lt;Dane_kredytowe!F$15,Dane_kredytowe!F$15=""),-F262+S262,0)</f>
        <v>0</v>
      </c>
      <c r="AE262" s="75">
        <f t="shared" si="651"/>
        <v>431.59069473033071</v>
      </c>
      <c r="AG262" s="22">
        <f>Dane_kredytowe!F$17-SUM(AI$5:AI261)+SUM(W$42:W262)-SUM(X$42:X262)</f>
        <v>47303.39999999998</v>
      </c>
      <c r="AH262" s="22">
        <f t="shared" si="652"/>
        <v>169.3</v>
      </c>
      <c r="AI262" s="22">
        <f t="shared" si="653"/>
        <v>264.26</v>
      </c>
      <c r="AJ262" s="22">
        <f t="shared" ref="AJ262:AJ263" si="695">AI262+AH262</f>
        <v>433.56</v>
      </c>
      <c r="AK262" s="22">
        <f t="shared" si="655"/>
        <v>2044.25</v>
      </c>
      <c r="AL262" s="22">
        <f>Dane_kredytowe!F$8-SUM(AN$5:AN261)+SUM(R$42:R261)-SUM(S$42:S262)</f>
        <v>149166.96000000005</v>
      </c>
      <c r="AM262" s="22">
        <f t="shared" si="656"/>
        <v>533.87</v>
      </c>
      <c r="AN262" s="22">
        <f t="shared" si="657"/>
        <v>833.33</v>
      </c>
      <c r="AO262" s="22">
        <f t="shared" ref="AO262:AO263" si="696">AN262+AM262</f>
        <v>1367.2</v>
      </c>
      <c r="AP262" s="22">
        <f t="shared" ref="AP262:AP263" si="697">AK262-AO262</f>
        <v>677.05</v>
      </c>
      <c r="AR262" s="87">
        <f t="shared" si="660"/>
        <v>45078</v>
      </c>
      <c r="AS262" s="23">
        <f>AS$5+SUM(AV$5:AV261)-SUM(X$5:X262)+SUM(W$5:W262)</f>
        <v>83274.493690214265</v>
      </c>
      <c r="AT262" s="22">
        <f t="shared" si="661"/>
        <v>-298.03941291727682</v>
      </c>
      <c r="AU262" s="22">
        <f>IF(AB262=1,IF(Q262="tak",AT262,PMT(M262/12,P262+1-SUM(AB$5:AB262),AS262)),0)</f>
        <v>-630.84809433372084</v>
      </c>
      <c r="AV262" s="22">
        <f t="shared" ref="AV262:AV263" si="698">AU262-AT262</f>
        <v>-332.80868141644402</v>
      </c>
      <c r="AW262" s="22">
        <f t="shared" si="663"/>
        <v>-2887.8333214314739</v>
      </c>
      <c r="AY262" s="23">
        <f>AY$5+SUM(BA$5:BA261)+SUM(W$5:W261)-SUM(X$5:X261)</f>
        <v>69141.431437842068</v>
      </c>
      <c r="AZ262" s="23">
        <f t="shared" si="664"/>
        <v>-298.03941291727682</v>
      </c>
      <c r="BA262" s="23">
        <f t="shared" si="665"/>
        <v>-386.26</v>
      </c>
      <c r="BB262" s="23">
        <f t="shared" ref="BB262:BB263" si="699">BA262+AZ262</f>
        <v>-684.29941291727687</v>
      </c>
      <c r="BC262" s="23">
        <f t="shared" si="667"/>
        <v>-3132.5174225114183</v>
      </c>
      <c r="BE262" s="88">
        <f t="shared" si="668"/>
        <v>6.8995000000000001E-2</v>
      </c>
      <c r="BF262" s="89">
        <f>BE262+Dane_kredytowe!F$12</f>
        <v>9.8995E-2</v>
      </c>
      <c r="BG262" s="23">
        <f>BG$5+SUM(BH$5:BH261)+SUM(R$5:R261)-SUM(S$5:S261)</f>
        <v>210661.26303078193</v>
      </c>
      <c r="BH262" s="22">
        <f t="shared" ref="BH262:BH263" si="700">IF(BJ262&lt;0,BJ262-BI262,0)</f>
        <v>-518.46890192027945</v>
      </c>
      <c r="BI262" s="22">
        <f t="shared" ref="BI262:BI263" si="701">IF(BJ262&lt;0,-BG262*BF262/12,0)</f>
        <v>-1737.8676444776881</v>
      </c>
      <c r="BJ262" s="22">
        <f>IF(U262&lt;0,PMT(BF262/12,Dane_kredytowe!F$13-SUM(AB$5:AB262)+1,BG262),0)</f>
        <v>-2256.3365463979676</v>
      </c>
      <c r="BL262" s="23">
        <f>BL$5+SUM(BN$5:BN261)+SUM(R$5:R261)-SUM(S$5:S261)</f>
        <v>149166.66666666674</v>
      </c>
      <c r="BM262" s="23">
        <f t="shared" ref="BM262:BM263" si="702">IF(AB262=1,-BF262*BL262/12,0)</f>
        <v>-1230.5628472222229</v>
      </c>
      <c r="BN262" s="23">
        <f t="shared" si="672"/>
        <v>-833.33333333333371</v>
      </c>
      <c r="BO262" s="23">
        <f t="shared" ref="BO262:BO263" si="703">BN262+BM262</f>
        <v>-2063.8961805555564</v>
      </c>
      <c r="BQ262" s="89">
        <f t="shared" ref="BQ262:BQ263" si="704">BE262+$BQ$4</f>
        <v>8.5694999999999993E-2</v>
      </c>
      <c r="BR262" s="23">
        <f>BR$5+SUM(BS$5:BS261)+SUM(R$5:R261)-SUM(S$5:S261)+SUM(BV$5:BV261)</f>
        <v>242119.35343563498</v>
      </c>
      <c r="BS262" s="22">
        <f t="shared" ref="BS262:BS263" si="705">IF(BU262&lt;0,BU262-BT262,0)</f>
        <v>-671.67877849248634</v>
      </c>
      <c r="BT262" s="22">
        <f t="shared" ref="BT262:BT263" si="706">IF(BU262&lt;0,-BR262*BQ262/12,0)</f>
        <v>-1729.0348327222282</v>
      </c>
      <c r="BU262" s="22">
        <f>IF(U262&lt;0,PMT(BQ262/12,Dane_kredytowe!F$13-SUM(AB$5:AB262)+1,BR262),0)</f>
        <v>-2400.7136112147145</v>
      </c>
      <c r="BV262" s="22">
        <f t="shared" ref="BV262:BV271" si="707">F262-BU262</f>
        <v>365.75010624966831</v>
      </c>
      <c r="BX262" s="23">
        <f>BX$5+SUM(BZ$5:BZ261)+SUM(R$5:R261)-SUM(S$5:S261)+SUM(CB$5,CB261)</f>
        <v>148974.73801069552</v>
      </c>
      <c r="BY262" s="22">
        <f t="shared" ref="BY262:BY263" si="708">IF(AB262=1,-BQ262*BX262/12,0)</f>
        <v>-1063.8658478188793</v>
      </c>
      <c r="BZ262" s="22">
        <f t="shared" si="678"/>
        <v>-832.26110620500287</v>
      </c>
      <c r="CA262" s="22">
        <f t="shared" ref="CA262:CA263" si="709">BZ262+BY262</f>
        <v>-1896.1269540238823</v>
      </c>
      <c r="CB262" s="22">
        <f t="shared" ref="CB262:CB263" si="710">$F262-CA262</f>
        <v>-138.83655094116398</v>
      </c>
      <c r="CD262" s="22">
        <f>CD$5+SUM(CE$5:CE261)+SUM(R$5:R261)-SUM(S$5:S261)-SUM(CF$5:CF261)</f>
        <v>197591.34992540866</v>
      </c>
      <c r="CE262" s="22">
        <f t="shared" ref="CE262:CE263" si="711">IF(AB262=1,BQ262*BX262/12,0)</f>
        <v>1063.8658478188793</v>
      </c>
      <c r="CF262" s="22">
        <f t="shared" si="682"/>
        <v>2034.9635049650462</v>
      </c>
      <c r="CG262" s="22">
        <f t="shared" ref="CG262:CG263" si="712">CF262-CE262</f>
        <v>971.09765714616697</v>
      </c>
      <c r="CI262" s="89">
        <f t="shared" si="684"/>
        <v>3.44E-2</v>
      </c>
      <c r="CJ262" s="22">
        <f t="shared" si="685"/>
        <v>-70</v>
      </c>
      <c r="CK262" s="15">
        <f t="shared" ref="CK262:CK271" si="713">ROUND(R262*CI262,2)</f>
        <v>0</v>
      </c>
      <c r="CM262" s="22">
        <f t="shared" ref="CM262:CM271" si="714">F262+S262+CM261</f>
        <v>-270450.94523191551</v>
      </c>
      <c r="CN262" s="15">
        <f t="shared" ref="CN262:CN263" si="715">CM262*BE262/12</f>
        <v>-1554.9802471896676</v>
      </c>
    </row>
    <row r="263" spans="1:92">
      <c r="B263" s="80">
        <v>45108</v>
      </c>
      <c r="C263" s="81">
        <f t="shared" si="686"/>
        <v>4.6006999999999998</v>
      </c>
      <c r="D263" s="82">
        <f t="shared" ref="D263:D271" si="716">C263*(1+$J$1)</f>
        <v>4.738721</v>
      </c>
      <c r="E263" s="73">
        <f t="shared" si="687"/>
        <v>-436.1361009418975</v>
      </c>
      <c r="F263" s="19">
        <f t="shared" si="688"/>
        <v>-2066.7273003914893</v>
      </c>
      <c r="G263" s="19">
        <f t="shared" si="689"/>
        <v>-1375.325305704886</v>
      </c>
      <c r="H263" s="19">
        <f t="shared" si="690"/>
        <v>691.4019946866033</v>
      </c>
      <c r="I263" s="62"/>
      <c r="K263" s="15">
        <f>IF(B263&lt;=Dane_kredytowe!F$9,0,K262+1)</f>
        <v>183</v>
      </c>
      <c r="L263" s="83">
        <f t="shared" si="691"/>
        <v>1.4526000000000001E-2</v>
      </c>
      <c r="M263" s="84">
        <f>L263+Dane_kredytowe!F$12</f>
        <v>4.4525999999999996E-2</v>
      </c>
      <c r="N263" s="79">
        <f>MAX(Dane_kredytowe!F$17+SUM(AA$5:AA262)-SUM(X$5:X263)+SUM(W$5:W263),0)</f>
        <v>56744.024078980001</v>
      </c>
      <c r="O263" s="85">
        <f>MAX(Dane_kredytowe!F$8+SUM(V$5:V262)-SUM(S$5:S263)+SUM(R$5:R262),0)</f>
        <v>178938.39123798042</v>
      </c>
      <c r="P263" s="67">
        <f t="shared" si="316"/>
        <v>360</v>
      </c>
      <c r="Q263" s="127" t="str">
        <f>IF(AND(K263&gt;0,K263&lt;=Dane_kredytowe!F$16),"tak","nie")</f>
        <v>nie</v>
      </c>
      <c r="R263" s="69"/>
      <c r="S263" s="86">
        <f>IF(Dane_kredytowe!F$19=B263,O262+V262,_xlfn.XLOOKUP(B263,Dane_kredytowe!M$9:M$18,Dane_kredytowe!N$9:N$18,0))</f>
        <v>0</v>
      </c>
      <c r="T263" s="71">
        <f t="shared" si="648"/>
        <v>-663.9509006885263</v>
      </c>
      <c r="U263" s="72">
        <f>IF(Q263="tak",T263,IF(P263-SUM(AB$5:AB263)+1&gt;0,IF(Dane_kredytowe!F$9&lt;B263,IF(SUM(AB$5:AB263)-Dane_kredytowe!F$16+1&gt;0,PMT(M263/12,P263+1-SUM(AB$5:AB263),O263),T263),0),0))</f>
        <v>-1375.325305704886</v>
      </c>
      <c r="V263" s="72">
        <f t="shared" si="692"/>
        <v>-711.37440501635967</v>
      </c>
      <c r="W263" s="19" t="str">
        <f t="shared" si="693"/>
        <v xml:space="preserve"> </v>
      </c>
      <c r="X263" s="19">
        <f t="shared" si="266"/>
        <v>0</v>
      </c>
      <c r="Y263" s="73">
        <f t="shared" si="649"/>
        <v>-210.54870134505529</v>
      </c>
      <c r="Z263" s="19">
        <f>IF(P263-SUM(AB$5:AB263)+1&gt;0,IF(Dane_kredytowe!F$9&lt;B263,IF(SUM(AB$5:AB263)-Dane_kredytowe!F$16+1&gt;0,PMT(M263/12,P263+1-SUM(AB$5:AB263),N263),Y263),0),0)</f>
        <v>-436.1361009418975</v>
      </c>
      <c r="AA263" s="19">
        <f t="shared" si="694"/>
        <v>-225.5873995968422</v>
      </c>
      <c r="AB263" s="20">
        <f>IF(AND(Dane_kredytowe!F$9&lt;B263,SUM(AB$5:AB262)&lt;P262),1," ")</f>
        <v>1</v>
      </c>
      <c r="AD263" s="75">
        <f>IF(OR(B263&lt;Dane_kredytowe!F$15,Dane_kredytowe!F$15=""),-F263+S263,0)</f>
        <v>0</v>
      </c>
      <c r="AE263" s="75">
        <f t="shared" si="651"/>
        <v>436.1361009418975</v>
      </c>
      <c r="AG263" s="22">
        <f>Dane_kredytowe!F$17-SUM(AI$5:AI262)+SUM(W$42:W263)-SUM(X$42:X263)</f>
        <v>47039.139999999978</v>
      </c>
      <c r="AH263" s="22">
        <f t="shared" si="652"/>
        <v>174.54</v>
      </c>
      <c r="AI263" s="22">
        <f t="shared" si="653"/>
        <v>264.26</v>
      </c>
      <c r="AJ263" s="22">
        <f t="shared" si="695"/>
        <v>438.79999999999995</v>
      </c>
      <c r="AK263" s="22">
        <f t="shared" si="655"/>
        <v>2079.35</v>
      </c>
      <c r="AL263" s="22">
        <f>Dane_kredytowe!F$8-SUM(AN$5:AN262)+SUM(R$42:R262)-SUM(S$42:S263)</f>
        <v>148333.63000000006</v>
      </c>
      <c r="AM263" s="22">
        <f t="shared" si="656"/>
        <v>550.39</v>
      </c>
      <c r="AN263" s="22">
        <f t="shared" si="657"/>
        <v>833.34</v>
      </c>
      <c r="AO263" s="22">
        <f t="shared" si="696"/>
        <v>1383.73</v>
      </c>
      <c r="AP263" s="22">
        <f t="shared" si="697"/>
        <v>695.61999999999989</v>
      </c>
      <c r="AR263" s="87">
        <f t="shared" si="660"/>
        <v>45108</v>
      </c>
      <c r="AS263" s="23">
        <f>AS$5+SUM(AV$5:AV262)-SUM(X$5:X263)+SUM(W$5:W263)</f>
        <v>82941.685008797824</v>
      </c>
      <c r="AT263" s="22">
        <f t="shared" si="661"/>
        <v>-307.75512222514431</v>
      </c>
      <c r="AU263" s="22">
        <f>IF(AB263=1,IF(Q263="tak",AT263,PMT(M263/12,P263+1-SUM(AB$5:AB263),AS263)),0)</f>
        <v>-637.49203008477139</v>
      </c>
      <c r="AV263" s="22">
        <f t="shared" si="698"/>
        <v>-329.73690785962708</v>
      </c>
      <c r="AW263" s="22">
        <f t="shared" si="663"/>
        <v>-2932.9095828110076</v>
      </c>
      <c r="AY263" s="23">
        <f>AY$5+SUM(BA$5:BA262)+SUM(W$5:W262)-SUM(X$5:X262)</f>
        <v>68755.171437842073</v>
      </c>
      <c r="AZ263" s="23">
        <f t="shared" si="664"/>
        <v>-307.75512222514431</v>
      </c>
      <c r="BA263" s="23">
        <f t="shared" si="665"/>
        <v>-386.27</v>
      </c>
      <c r="BB263" s="23">
        <f t="shared" si="699"/>
        <v>-694.02512222514429</v>
      </c>
      <c r="BC263" s="23">
        <f t="shared" si="667"/>
        <v>-3193.0013798212212</v>
      </c>
      <c r="BE263" s="88">
        <f t="shared" si="668"/>
        <v>6.8995000000000001E-2</v>
      </c>
      <c r="BF263" s="89">
        <f>BE263+Dane_kredytowe!F$12</f>
        <v>9.8995E-2</v>
      </c>
      <c r="BG263" s="23">
        <f>BG$5+SUM(BH$5:BH262)+SUM(R$5:R262)-SUM(S$5:S262)</f>
        <v>210142.79412886163</v>
      </c>
      <c r="BH263" s="22">
        <f t="shared" si="700"/>
        <v>-522.74605433241277</v>
      </c>
      <c r="BI263" s="22">
        <f t="shared" si="701"/>
        <v>-1733.5904920655548</v>
      </c>
      <c r="BJ263" s="22">
        <f>IF(U263&lt;0,PMT(BF263/12,Dane_kredytowe!F$13-SUM(AB$5:AB263)+1,BG263),0)</f>
        <v>-2256.3365463979676</v>
      </c>
      <c r="BL263" s="23">
        <f>BL$5+SUM(BN$5:BN262)+SUM(R$5:R262)-SUM(S$5:S262)</f>
        <v>148333.3333333334</v>
      </c>
      <c r="BM263" s="23">
        <f t="shared" si="702"/>
        <v>-1223.6881944444451</v>
      </c>
      <c r="BN263" s="23">
        <f t="shared" si="672"/>
        <v>-833.33333333333371</v>
      </c>
      <c r="BO263" s="23">
        <f t="shared" si="703"/>
        <v>-2057.0215277777788</v>
      </c>
      <c r="BQ263" s="89">
        <f t="shared" si="704"/>
        <v>8.5694999999999993E-2</v>
      </c>
      <c r="BR263" s="23">
        <f>BR$5+SUM(BS$5:BS262)+SUM(R$5:R262)-SUM(S$5:S262)+SUM(BV$5:BV262)</f>
        <v>241813.42476339216</v>
      </c>
      <c r="BS263" s="22">
        <f t="shared" si="705"/>
        <v>-677.50014399357087</v>
      </c>
      <c r="BT263" s="22">
        <f t="shared" si="706"/>
        <v>-1726.8501195915742</v>
      </c>
      <c r="BU263" s="22">
        <f>IF(U263&lt;0,PMT(BQ263/12,Dane_kredytowe!F$13-SUM(AB$5:AB263)+1,BR263),0)</f>
        <v>-2404.3502635851451</v>
      </c>
      <c r="BV263" s="22">
        <f t="shared" si="707"/>
        <v>337.62296319365578</v>
      </c>
      <c r="BX263" s="23">
        <f>BX$5+SUM(BZ$5:BZ262)+SUM(R$5:R262)-SUM(S$5:S262)+SUM(CB$5,CB262)</f>
        <v>148148.30601323658</v>
      </c>
      <c r="BY263" s="22">
        <f t="shared" si="708"/>
        <v>-1057.9640903170257</v>
      </c>
      <c r="BZ263" s="22">
        <f t="shared" si="678"/>
        <v>-832.29385400694707</v>
      </c>
      <c r="CA263" s="22">
        <f t="shared" si="709"/>
        <v>-1890.2579443239729</v>
      </c>
      <c r="CB263" s="22">
        <f t="shared" si="710"/>
        <v>-176.4693560675164</v>
      </c>
      <c r="CD263" s="22">
        <f>CD$5+SUM(CE$5:CE262)+SUM(R$5:R262)-SUM(S$5:S262)-SUM(CF$5:CF262)</f>
        <v>196620.2522682625</v>
      </c>
      <c r="CE263" s="22">
        <f t="shared" si="711"/>
        <v>1057.9640903170257</v>
      </c>
      <c r="CF263" s="22">
        <f t="shared" si="682"/>
        <v>2066.7273003914893</v>
      </c>
      <c r="CG263" s="22">
        <f t="shared" si="712"/>
        <v>1008.7632100744636</v>
      </c>
      <c r="CI263" s="89">
        <f t="shared" si="684"/>
        <v>3.44E-2</v>
      </c>
      <c r="CJ263" s="22">
        <f t="shared" si="685"/>
        <v>-71.099999999999994</v>
      </c>
      <c r="CK263" s="15">
        <f t="shared" si="713"/>
        <v>0</v>
      </c>
      <c r="CM263" s="22">
        <f t="shared" si="714"/>
        <v>-272517.67253230698</v>
      </c>
      <c r="CN263" s="15">
        <f t="shared" si="715"/>
        <v>-1566.8630680305434</v>
      </c>
    </row>
    <row r="264" spans="1:92">
      <c r="B264" s="80">
        <v>45139</v>
      </c>
      <c r="C264" s="81">
        <f t="shared" ref="C264:C271" si="717">VLOOKUP(B264,Kursy,C$2)</f>
        <v>4.6520999999999999</v>
      </c>
      <c r="D264" s="82">
        <f t="shared" si="716"/>
        <v>4.7916629999999998</v>
      </c>
      <c r="E264" s="73">
        <f t="shared" ref="E264:E271" si="718">Z264</f>
        <v>-439.03112832490569</v>
      </c>
      <c r="F264" s="19">
        <f t="shared" ref="F264:F271" si="719">E264*D264</f>
        <v>-2103.6892134427026</v>
      </c>
      <c r="G264" s="19">
        <f t="shared" ref="G264:G271" si="720">U264</f>
        <v>-1384.4545761595923</v>
      </c>
      <c r="H264" s="19">
        <f t="shared" ref="H264:H271" si="721">G264-F264</f>
        <v>719.23463728311026</v>
      </c>
      <c r="I264" s="62"/>
      <c r="K264" s="15">
        <f>IF(B264&lt;=Dane_kredytowe!F$9,0,K263+1)</f>
        <v>184</v>
      </c>
      <c r="L264" s="83">
        <f t="shared" ref="L264:L271" si="722">VLOOKUP(B264,Oproc,C$2)</f>
        <v>1.5531E-2</v>
      </c>
      <c r="M264" s="84">
        <f>L264+Dane_kredytowe!F$12</f>
        <v>4.5531000000000002E-2</v>
      </c>
      <c r="N264" s="79">
        <f>MAX(Dane_kredytowe!F$17+SUM(AA$5:AA263)-SUM(X$5:X264)+SUM(W$5:W264),0)</f>
        <v>56518.436679383158</v>
      </c>
      <c r="O264" s="85">
        <f>MAX(Dane_kredytowe!F$8+SUM(V$5:V263)-SUM(S$5:S264)+SUM(R$5:R263),0)</f>
        <v>178227.01683296406</v>
      </c>
      <c r="P264" s="67">
        <f t="shared" si="316"/>
        <v>360</v>
      </c>
      <c r="Q264" s="127" t="str">
        <f>IF(AND(K264&gt;0,K264&lt;=Dane_kredytowe!F$16),"tak","nie")</f>
        <v>nie</v>
      </c>
      <c r="R264" s="69"/>
      <c r="S264" s="86">
        <f>IF(Dane_kredytowe!F$19=B264,O263+V263,_xlfn.XLOOKUP(B264,Dane_kredytowe!M$9:M$18,Dane_kredytowe!N$9:N$18,0))</f>
        <v>0</v>
      </c>
      <c r="T264" s="71">
        <f t="shared" si="648"/>
        <v>-676.23785861847398</v>
      </c>
      <c r="U264" s="72">
        <f>IF(Q264="tak",T264,IF(P264-SUM(AB$5:AB264)+1&gt;0,IF(Dane_kredytowe!F$9&lt;B264,IF(SUM(AB$5:AB264)-Dane_kredytowe!F$16+1&gt;0,PMT(M264/12,P264+1-SUM(AB$5:AB264),O264),T264),0),0))</f>
        <v>-1384.4545761595923</v>
      </c>
      <c r="V264" s="72">
        <f t="shared" si="692"/>
        <v>-708.21671754111833</v>
      </c>
      <c r="W264" s="19" t="str">
        <f t="shared" si="693"/>
        <v xml:space="preserve"> </v>
      </c>
      <c r="X264" s="19">
        <f t="shared" si="266"/>
        <v>0</v>
      </c>
      <c r="Y264" s="73">
        <f t="shared" si="649"/>
        <v>-214.44507837074957</v>
      </c>
      <c r="Z264" s="19">
        <f>IF(P264-SUM(AB$5:AB264)+1&gt;0,IF(Dane_kredytowe!F$9&lt;B264,IF(SUM(AB$5:AB264)-Dane_kredytowe!F$16+1&gt;0,PMT(M264/12,P264+1-SUM(AB$5:AB264),N264),Y264),0),0)</f>
        <v>-439.03112832490569</v>
      </c>
      <c r="AA264" s="19">
        <f t="shared" ref="AA264:AA271" si="723">Z264-Y264</f>
        <v>-224.58604995415612</v>
      </c>
      <c r="AB264" s="20">
        <f>IF(AND(Dane_kredytowe!F$9&lt;B264,SUM(AB$5:AB263)&lt;P263),1," ")</f>
        <v>1</v>
      </c>
      <c r="AD264" s="75">
        <f>IF(OR(B264&lt;Dane_kredytowe!F$15,Dane_kredytowe!F$15=""),-F264+S264,0)</f>
        <v>0</v>
      </c>
      <c r="AE264" s="75">
        <f t="shared" si="651"/>
        <v>439.03112832490569</v>
      </c>
      <c r="AG264" s="22">
        <f>Dane_kredytowe!F$17-SUM(AI$5:AI263)+SUM(W$42:W264)-SUM(X$42:X264)</f>
        <v>46774.879999999976</v>
      </c>
      <c r="AH264" s="22">
        <f t="shared" si="652"/>
        <v>177.48</v>
      </c>
      <c r="AI264" s="22">
        <f t="shared" si="653"/>
        <v>264.26</v>
      </c>
      <c r="AJ264" s="22">
        <f t="shared" ref="AJ264:AJ271" si="724">AI264+AH264</f>
        <v>441.74</v>
      </c>
      <c r="AK264" s="22">
        <f t="shared" si="655"/>
        <v>2116.67</v>
      </c>
      <c r="AL264" s="22">
        <f>Dane_kredytowe!F$8-SUM(AN$5:AN263)+SUM(R$42:R263)-SUM(S$42:S264)</f>
        <v>147500.29000000007</v>
      </c>
      <c r="AM264" s="22">
        <f t="shared" si="656"/>
        <v>559.65</v>
      </c>
      <c r="AN264" s="22">
        <f t="shared" si="657"/>
        <v>833.33</v>
      </c>
      <c r="AO264" s="22">
        <f t="shared" ref="AO264:AO271" si="725">AN264+AM264</f>
        <v>1392.98</v>
      </c>
      <c r="AP264" s="22">
        <f t="shared" ref="AP264:AP271" si="726">AK264-AO264</f>
        <v>723.69</v>
      </c>
      <c r="AR264" s="87">
        <f t="shared" si="660"/>
        <v>45139</v>
      </c>
      <c r="AS264" s="23">
        <f>AS$5+SUM(AV$5:AV263)-SUM(X$5:X264)+SUM(W$5:W264)</f>
        <v>82611.9481009382</v>
      </c>
      <c r="AT264" s="22">
        <f t="shared" si="661"/>
        <v>-313.45038408198479</v>
      </c>
      <c r="AU264" s="22">
        <f>IF(AB264=1,IF(Q264="tak",AT264,PMT(M264/12,P264+1-SUM(AB$5:AB264),AS264)),0)</f>
        <v>-641.72363778603528</v>
      </c>
      <c r="AV264" s="22">
        <f t="shared" ref="AV264:AV271" si="727">AU264-AT264</f>
        <v>-328.27325370405049</v>
      </c>
      <c r="AW264" s="22">
        <f t="shared" si="663"/>
        <v>-2985.3625353444145</v>
      </c>
      <c r="AY264" s="23">
        <f>AY$5+SUM(BA$5:BA263)+SUM(W$5:W263)-SUM(X$5:X263)</f>
        <v>68368.901437842069</v>
      </c>
      <c r="AZ264" s="23">
        <f t="shared" si="664"/>
        <v>-313.45038408198479</v>
      </c>
      <c r="BA264" s="23">
        <f t="shared" si="665"/>
        <v>-386.26</v>
      </c>
      <c r="BB264" s="23">
        <f t="shared" ref="BB264:BB271" si="728">BA264+AZ264</f>
        <v>-699.71038408198478</v>
      </c>
      <c r="BC264" s="23">
        <f t="shared" si="667"/>
        <v>-3255.1226777878014</v>
      </c>
      <c r="BE264" s="88">
        <f t="shared" si="668"/>
        <v>6.7199999999999996E-2</v>
      </c>
      <c r="BF264" s="89">
        <f>BE264+Dane_kredytowe!F$12</f>
        <v>9.7199999999999995E-2</v>
      </c>
      <c r="BG264" s="23">
        <f>BG$5+SUM(BH$5:BH263)+SUM(R$5:R263)-SUM(S$5:S263)</f>
        <v>209620.04807452922</v>
      </c>
      <c r="BH264" s="22">
        <f t="shared" ref="BH264:BH271" si="729">IF(BJ264&lt;0,BJ264-BI264,0)</f>
        <v>-535.61611377055692</v>
      </c>
      <c r="BI264" s="22">
        <f t="shared" ref="BI264:BI271" si="730">IF(BJ264&lt;0,-BG264*BF264/12,0)</f>
        <v>-1697.9223894036866</v>
      </c>
      <c r="BJ264" s="22">
        <f>IF(U264&lt;0,PMT(BF264/12,Dane_kredytowe!F$13-SUM(AB$5:AB264)+1,BG264),0)</f>
        <v>-2233.5385031742435</v>
      </c>
      <c r="BL264" s="23">
        <f>BL$5+SUM(BN$5:BN263)+SUM(R$5:R263)-SUM(S$5:S263)</f>
        <v>147500.00000000006</v>
      </c>
      <c r="BM264" s="23">
        <f t="shared" ref="BM264:BM271" si="731">IF(AB264=1,-BF264*BL264/12,0)</f>
        <v>-1194.7500000000005</v>
      </c>
      <c r="BN264" s="23">
        <f t="shared" si="672"/>
        <v>-833.33333333333371</v>
      </c>
      <c r="BO264" s="23">
        <f t="shared" ref="BO264:BO271" si="732">BN264+BM264</f>
        <v>-2028.0833333333342</v>
      </c>
      <c r="BQ264" s="89">
        <f t="shared" ref="BQ264:BQ271" si="733">BE264+$BQ$4</f>
        <v>8.3900000000000002E-2</v>
      </c>
      <c r="BR264" s="23">
        <f>BR$5+SUM(BS$5:BS263)+SUM(R$5:R263)-SUM(S$5:S263)+SUM(BV$5:BV263)</f>
        <v>241473.54758259226</v>
      </c>
      <c r="BS264" s="22">
        <f t="shared" ref="BS264:BS271" si="734">IF(BU264&lt;0,BU264-BT264,0)</f>
        <v>-694.12920134464935</v>
      </c>
      <c r="BT264" s="22">
        <f t="shared" ref="BT264:BT271" si="735">IF(BU264&lt;0,-BR264*BQ264/12,0)</f>
        <v>-1688.3025535149575</v>
      </c>
      <c r="BU264" s="22">
        <f>IF(U264&lt;0,PMT(BQ264/12,Dane_kredytowe!F$13-SUM(AB$5:AB264)+1,BR264),0)</f>
        <v>-2382.4317548596068</v>
      </c>
      <c r="BV264" s="22">
        <f t="shared" si="707"/>
        <v>278.74254141690426</v>
      </c>
      <c r="BX264" s="23">
        <f>BX$5+SUM(BZ$5:BZ263)+SUM(R$5:R263)-SUM(S$5:S263)+SUM(CB$5,CB263)</f>
        <v>147278.37935410329</v>
      </c>
      <c r="BY264" s="22">
        <f t="shared" ref="BY264:BY271" si="736">IF(AB264=1,-BQ264*BX264/12,0)</f>
        <v>-1029.7213356507723</v>
      </c>
      <c r="BZ264" s="22">
        <f t="shared" si="678"/>
        <v>-832.08123928871919</v>
      </c>
      <c r="CA264" s="22">
        <f t="shared" ref="CA264:CA271" si="737">BZ264+BY264</f>
        <v>-1861.8025749394915</v>
      </c>
      <c r="CB264" s="22">
        <f t="shared" ref="CB264:CB271" si="738">$F264-CA264</f>
        <v>-241.88663850321109</v>
      </c>
      <c r="CD264" s="22">
        <f>CD$5+SUM(CE$5:CE263)+SUM(R$5:R263)-SUM(S$5:S263)-SUM(CF$5:CF263)</f>
        <v>195611.48905818805</v>
      </c>
      <c r="CE264" s="22">
        <f t="shared" ref="CE264:CE271" si="739">IF(AB264=1,BQ264*BX264/12,0)</f>
        <v>1029.7213356507723</v>
      </c>
      <c r="CF264" s="22">
        <f t="shared" si="682"/>
        <v>2103.6892134427026</v>
      </c>
      <c r="CG264" s="22">
        <f t="shared" ref="CG264:CG271" si="740">CF264-CE264</f>
        <v>1073.9678777919303</v>
      </c>
      <c r="CI264" s="89">
        <f t="shared" si="684"/>
        <v>3.44E-2</v>
      </c>
      <c r="CJ264" s="22">
        <f t="shared" si="685"/>
        <v>-72.37</v>
      </c>
      <c r="CK264" s="15">
        <f t="shared" si="713"/>
        <v>0</v>
      </c>
      <c r="CM264" s="22">
        <f t="shared" si="714"/>
        <v>-274621.36174574966</v>
      </c>
      <c r="CN264" s="15">
        <f t="shared" ref="CN264:CN271" si="741">CM264*BE264/12</f>
        <v>-1537.8796257761981</v>
      </c>
    </row>
    <row r="265" spans="1:92">
      <c r="B265" s="80">
        <v>45170</v>
      </c>
      <c r="C265" s="81">
        <f t="shared" si="717"/>
        <v>4.7882999999999996</v>
      </c>
      <c r="D265" s="82">
        <f t="shared" si="716"/>
        <v>4.9319489999999995</v>
      </c>
      <c r="E265" s="73">
        <f t="shared" si="718"/>
        <v>-441.90851586644732</v>
      </c>
      <c r="F265" s="19">
        <f t="shared" si="719"/>
        <v>-2179.4702629190087</v>
      </c>
      <c r="G265" s="19">
        <f t="shared" si="720"/>
        <v>-1393.5282205831008</v>
      </c>
      <c r="H265" s="19">
        <f t="shared" si="721"/>
        <v>785.9420423359079</v>
      </c>
      <c r="I265" s="62"/>
      <c r="K265" s="15">
        <f>IF(B265&lt;=Dane_kredytowe!F$9,0,K264+1)</f>
        <v>185</v>
      </c>
      <c r="L265" s="83">
        <f t="shared" si="722"/>
        <v>1.6531000000000001E-2</v>
      </c>
      <c r="M265" s="84">
        <f>L265+Dane_kredytowe!F$12</f>
        <v>4.6531000000000003E-2</v>
      </c>
      <c r="N265" s="79">
        <f>MAX(Dane_kredytowe!F$17+SUM(AA$5:AA264)-SUM(X$5:X265)+SUM(W$5:W265),0)</f>
        <v>56293.850629428998</v>
      </c>
      <c r="O265" s="85">
        <f>MAX(Dane_kredytowe!F$8+SUM(V$5:V264)-SUM(S$5:S265)+SUM(R$5:R264),0)</f>
        <v>177518.80011542293</v>
      </c>
      <c r="P265" s="67">
        <f t="shared" si="316"/>
        <v>360</v>
      </c>
      <c r="Q265" s="127" t="str">
        <f>IF(AND(K265&gt;0,K265&lt;=Dane_kredytowe!F$16),"tak","nie")</f>
        <v>nie</v>
      </c>
      <c r="R265" s="69"/>
      <c r="S265" s="86">
        <f>IF(Dane_kredytowe!F$19=B265,O264+V264,_xlfn.XLOOKUP(B265,Dane_kredytowe!M$9:M$18,Dane_kredytowe!N$9:N$18,0))</f>
        <v>0</v>
      </c>
      <c r="T265" s="71">
        <f t="shared" si="648"/>
        <v>-688.34394068089534</v>
      </c>
      <c r="U265" s="72">
        <f>IF(Q265="tak",T265,IF(P265-SUM(AB$5:AB265)+1&gt;0,IF(Dane_kredytowe!F$9&lt;B265,IF(SUM(AB$5:AB265)-Dane_kredytowe!F$16+1&gt;0,PMT(M265/12,P265+1-SUM(AB$5:AB265),O265),T265),0),0))</f>
        <v>-1393.5282205831008</v>
      </c>
      <c r="V265" s="72">
        <f t="shared" si="692"/>
        <v>-705.1842799022055</v>
      </c>
      <c r="W265" s="19" t="str">
        <f t="shared" si="693"/>
        <v xml:space="preserve"> </v>
      </c>
      <c r="X265" s="19">
        <f t="shared" si="266"/>
        <v>0</v>
      </c>
      <c r="Y265" s="73">
        <f t="shared" si="649"/>
        <v>-218.28409696983007</v>
      </c>
      <c r="Z265" s="19">
        <f>IF(P265-SUM(AB$5:AB265)+1&gt;0,IF(Dane_kredytowe!F$9&lt;B265,IF(SUM(AB$5:AB265)-Dane_kredytowe!F$16+1&gt;0,PMT(M265/12,P265+1-SUM(AB$5:AB265),N265),Y265),0),0)</f>
        <v>-441.90851586644732</v>
      </c>
      <c r="AA265" s="19">
        <f t="shared" si="723"/>
        <v>-223.62441889661724</v>
      </c>
      <c r="AB265" s="20">
        <f>IF(AND(Dane_kredytowe!F$9&lt;B265,SUM(AB$5:AB264)&lt;P264),1," ")</f>
        <v>1</v>
      </c>
      <c r="AD265" s="75">
        <f>IF(OR(B265&lt;Dane_kredytowe!F$15,Dane_kredytowe!F$15=""),-F265+S265,0)</f>
        <v>0</v>
      </c>
      <c r="AE265" s="75">
        <f t="shared" si="651"/>
        <v>441.90851586644732</v>
      </c>
      <c r="AG265" s="22">
        <f>Dane_kredytowe!F$17-SUM(AI$5:AI264)+SUM(W$42:W265)-SUM(X$42:X265)</f>
        <v>46510.619999999974</v>
      </c>
      <c r="AH265" s="22">
        <f t="shared" si="652"/>
        <v>180.35</v>
      </c>
      <c r="AI265" s="22">
        <f t="shared" si="653"/>
        <v>264.26</v>
      </c>
      <c r="AJ265" s="22">
        <f t="shared" si="724"/>
        <v>444.61</v>
      </c>
      <c r="AK265" s="22">
        <f t="shared" si="655"/>
        <v>2192.79</v>
      </c>
      <c r="AL265" s="22">
        <f>Dane_kredytowe!F$8-SUM(AN$5:AN264)+SUM(R$42:R264)-SUM(S$42:S265)</f>
        <v>146666.96000000008</v>
      </c>
      <c r="AM265" s="22">
        <f t="shared" si="656"/>
        <v>568.71</v>
      </c>
      <c r="AN265" s="22">
        <f t="shared" si="657"/>
        <v>833.34</v>
      </c>
      <c r="AO265" s="22">
        <f t="shared" si="725"/>
        <v>1402.0500000000002</v>
      </c>
      <c r="AP265" s="22">
        <f t="shared" si="726"/>
        <v>790.73999999999978</v>
      </c>
      <c r="AR265" s="87">
        <f t="shared" si="660"/>
        <v>45170</v>
      </c>
      <c r="AS265" s="23">
        <f>AS$5+SUM(AV$5:AV264)-SUM(X$5:X265)+SUM(W$5:W265)</f>
        <v>82283.674847234142</v>
      </c>
      <c r="AT265" s="22">
        <f t="shared" si="661"/>
        <v>-319.06180619305434</v>
      </c>
      <c r="AU265" s="22">
        <f>IF(AB265=1,IF(Q265="tak",AT265,PMT(M265/12,P265+1-SUM(AB$5:AB265),AS265)),0)</f>
        <v>-645.92946165898809</v>
      </c>
      <c r="AV265" s="22">
        <f t="shared" si="727"/>
        <v>-326.86765546593375</v>
      </c>
      <c r="AW265" s="22">
        <f t="shared" si="663"/>
        <v>-3092.9040412617323</v>
      </c>
      <c r="AY265" s="23">
        <f>AY$5+SUM(BA$5:BA264)+SUM(W$5:W264)-SUM(X$5:X264)</f>
        <v>67982.641437842074</v>
      </c>
      <c r="AZ265" s="23">
        <f t="shared" si="664"/>
        <v>-319.06180619305434</v>
      </c>
      <c r="BA265" s="23">
        <f t="shared" si="665"/>
        <v>-386.27</v>
      </c>
      <c r="BB265" s="23">
        <f t="shared" si="728"/>
        <v>-705.33180619305426</v>
      </c>
      <c r="BC265" s="23">
        <f t="shared" si="667"/>
        <v>-3377.3402875942015</v>
      </c>
      <c r="BE265" s="88">
        <f t="shared" si="668"/>
        <v>6.7199999999999996E-2</v>
      </c>
      <c r="BF265" s="89">
        <f>BE265+Dane_kredytowe!F$12</f>
        <v>9.7199999999999995E-2</v>
      </c>
      <c r="BG265" s="23">
        <f>BG$5+SUM(BH$5:BH264)+SUM(R$5:R264)-SUM(S$5:S264)</f>
        <v>209084.43196075867</v>
      </c>
      <c r="BH265" s="22">
        <f t="shared" si="729"/>
        <v>-539.95460429209834</v>
      </c>
      <c r="BI265" s="22">
        <f t="shared" si="730"/>
        <v>-1693.5838988821451</v>
      </c>
      <c r="BJ265" s="22">
        <f>IF(U265&lt;0,PMT(BF265/12,Dane_kredytowe!F$13-SUM(AB$5:AB265)+1,BG265),0)</f>
        <v>-2233.5385031742435</v>
      </c>
      <c r="BL265" s="23">
        <f>BL$5+SUM(BN$5:BN264)+SUM(R$5:R264)-SUM(S$5:S264)</f>
        <v>146666.66666666672</v>
      </c>
      <c r="BM265" s="23">
        <f t="shared" si="731"/>
        <v>-1188.0000000000002</v>
      </c>
      <c r="BN265" s="23">
        <f t="shared" si="672"/>
        <v>-833.3333333333336</v>
      </c>
      <c r="BO265" s="23">
        <f t="shared" si="732"/>
        <v>-2021.3333333333339</v>
      </c>
      <c r="BQ265" s="89">
        <f t="shared" si="733"/>
        <v>8.3900000000000002E-2</v>
      </c>
      <c r="BR265" s="23">
        <f>BR$5+SUM(BS$5:BS264)+SUM(R$5:R264)-SUM(S$5:S264)+SUM(BV$5:BV264)</f>
        <v>241058.16092266451</v>
      </c>
      <c r="BS265" s="22">
        <f t="shared" si="734"/>
        <v>-699.79151055950297</v>
      </c>
      <c r="BT265" s="22">
        <f t="shared" si="735"/>
        <v>-1685.3983084509628</v>
      </c>
      <c r="BU265" s="22">
        <f>IF(U265&lt;0,PMT(BQ265/12,Dane_kredytowe!F$13-SUM(AB$5:AB265)+1,BR265),0)</f>
        <v>-2385.1898190104657</v>
      </c>
      <c r="BV265" s="22">
        <f t="shared" si="707"/>
        <v>205.71955609145698</v>
      </c>
      <c r="BX265" s="23">
        <f>BX$5+SUM(BZ$5:BZ264)+SUM(R$5:R264)-SUM(S$5:S264)+SUM(CB$5,CB264)</f>
        <v>146380.88083237887</v>
      </c>
      <c r="BY265" s="22">
        <f t="shared" si="736"/>
        <v>-1023.4463251530489</v>
      </c>
      <c r="BZ265" s="22">
        <f t="shared" si="678"/>
        <v>-831.7095501839708</v>
      </c>
      <c r="CA265" s="22">
        <f t="shared" si="737"/>
        <v>-1855.1558753370196</v>
      </c>
      <c r="CB265" s="22">
        <f t="shared" si="738"/>
        <v>-324.31438758198919</v>
      </c>
      <c r="CD265" s="22">
        <f>CD$5+SUM(CE$5:CE264)+SUM(R$5:R264)-SUM(S$5:S264)-SUM(CF$5:CF264)</f>
        <v>194537.52118039614</v>
      </c>
      <c r="CE265" s="22">
        <f t="shared" si="739"/>
        <v>1023.4463251530489</v>
      </c>
      <c r="CF265" s="22">
        <f t="shared" si="682"/>
        <v>2179.4702629190087</v>
      </c>
      <c r="CG265" s="22">
        <f t="shared" si="740"/>
        <v>1156.02393776596</v>
      </c>
      <c r="CI265" s="89">
        <f t="shared" si="684"/>
        <v>3.44E-2</v>
      </c>
      <c r="CJ265" s="22">
        <f t="shared" si="685"/>
        <v>-74.97</v>
      </c>
      <c r="CK265" s="15">
        <f t="shared" si="713"/>
        <v>0</v>
      </c>
      <c r="CM265" s="22">
        <f t="shared" si="714"/>
        <v>-276800.83200866869</v>
      </c>
      <c r="CN265" s="15">
        <f t="shared" si="741"/>
        <v>-1550.0846592485448</v>
      </c>
    </row>
    <row r="266" spans="1:92">
      <c r="B266" s="80">
        <v>45200</v>
      </c>
      <c r="C266" s="81">
        <f t="shared" si="717"/>
        <v>4.7306999999999997</v>
      </c>
      <c r="D266" s="82">
        <f t="shared" si="716"/>
        <v>4.8726209999999996</v>
      </c>
      <c r="E266" s="73">
        <f t="shared" si="718"/>
        <v>-443.63160603622151</v>
      </c>
      <c r="F266" s="19">
        <f t="shared" si="719"/>
        <v>-2161.6486798358196</v>
      </c>
      <c r="G266" s="19">
        <f t="shared" si="720"/>
        <v>-1398.9618673492912</v>
      </c>
      <c r="H266" s="19">
        <f t="shared" si="721"/>
        <v>762.68681248652842</v>
      </c>
      <c r="I266" s="62"/>
      <c r="K266" s="15">
        <f>IF(B266&lt;=Dane_kredytowe!F$9,0,K265+1)</f>
        <v>186</v>
      </c>
      <c r="L266" s="83">
        <f t="shared" si="722"/>
        <v>1.7131E-2</v>
      </c>
      <c r="M266" s="84">
        <f>L266+Dane_kredytowe!F$12</f>
        <v>4.7130999999999999E-2</v>
      </c>
      <c r="N266" s="79">
        <f>MAX(Dane_kredytowe!F$17+SUM(AA$5:AA265)-SUM(X$5:X266)+SUM(W$5:W266),0)</f>
        <v>56070.226210532383</v>
      </c>
      <c r="O266" s="85">
        <f>MAX(Dane_kredytowe!F$8+SUM(V$5:V265)-SUM(S$5:S266)+SUM(R$5:R265),0)</f>
        <v>176813.61583552073</v>
      </c>
      <c r="P266" s="67">
        <f t="shared" si="316"/>
        <v>360</v>
      </c>
      <c r="Q266" s="127" t="str">
        <f>IF(AND(K266&gt;0,K266&lt;=Dane_kredytowe!F$16),"tak","nie")</f>
        <v>nie</v>
      </c>
      <c r="R266" s="69"/>
      <c r="S266" s="86">
        <f>IF(Dane_kredytowe!F$19=B266,O265+V265,_xlfn.XLOOKUP(B266,Dane_kredytowe!M$9:M$18,Dane_kredytowe!N$9:N$18,0))</f>
        <v>0</v>
      </c>
      <c r="T266" s="71">
        <f t="shared" si="648"/>
        <v>-694.45021066199388</v>
      </c>
      <c r="U266" s="72">
        <f>IF(Q266="tak",T266,IF(P266-SUM(AB$5:AB266)+1&gt;0,IF(Dane_kredytowe!F$9&lt;B266,IF(SUM(AB$5:AB266)-Dane_kredytowe!F$16+1&gt;0,PMT(M266/12,P266+1-SUM(AB$5:AB266),O266),T266),0),0))</f>
        <v>-1398.9618673492912</v>
      </c>
      <c r="V266" s="72">
        <f t="shared" si="692"/>
        <v>-704.51165668729732</v>
      </c>
      <c r="W266" s="19" t="str">
        <f t="shared" si="693"/>
        <v xml:space="preserve"> </v>
      </c>
      <c r="X266" s="19">
        <f t="shared" si="266"/>
        <v>0</v>
      </c>
      <c r="Y266" s="73">
        <f t="shared" si="649"/>
        <v>-220.22048596071681</v>
      </c>
      <c r="Z266" s="19">
        <f>IF(P266-SUM(AB$5:AB266)+1&gt;0,IF(Dane_kredytowe!F$9&lt;B266,IF(SUM(AB$5:AB266)-Dane_kredytowe!F$16+1&gt;0,PMT(M266/12,P266+1-SUM(AB$5:AB266),N266),Y266),0),0)</f>
        <v>-443.63160603622151</v>
      </c>
      <c r="AA266" s="19">
        <f t="shared" si="723"/>
        <v>-223.4111200755047</v>
      </c>
      <c r="AB266" s="20">
        <f>IF(AND(Dane_kredytowe!F$9&lt;B266,SUM(AB$5:AB265)&lt;P265),1," ")</f>
        <v>1</v>
      </c>
      <c r="AD266" s="75">
        <f>IF(OR(B266&lt;Dane_kredytowe!F$15,Dane_kredytowe!F$15=""),-F266+S266,0)</f>
        <v>0</v>
      </c>
      <c r="AE266" s="75">
        <f t="shared" si="651"/>
        <v>443.63160603622151</v>
      </c>
      <c r="AG266" s="22">
        <f>Dane_kredytowe!F$17-SUM(AI$5:AI265)+SUM(W$42:W266)-SUM(X$42:X266)</f>
        <v>46246.359999999971</v>
      </c>
      <c r="AH266" s="22">
        <f t="shared" si="652"/>
        <v>181.64</v>
      </c>
      <c r="AI266" s="22">
        <f t="shared" si="653"/>
        <v>264.26</v>
      </c>
      <c r="AJ266" s="22">
        <f t="shared" si="724"/>
        <v>445.9</v>
      </c>
      <c r="AK266" s="22">
        <f t="shared" si="655"/>
        <v>2172.6999999999998</v>
      </c>
      <c r="AL266" s="22">
        <f>Dane_kredytowe!F$8-SUM(AN$5:AN265)+SUM(R$42:R265)-SUM(S$42:S266)</f>
        <v>145833.62000000008</v>
      </c>
      <c r="AM266" s="22">
        <f t="shared" si="656"/>
        <v>572.77</v>
      </c>
      <c r="AN266" s="22">
        <f t="shared" si="657"/>
        <v>833.33</v>
      </c>
      <c r="AO266" s="22">
        <f t="shared" si="725"/>
        <v>1406.1</v>
      </c>
      <c r="AP266" s="22">
        <f t="shared" si="726"/>
        <v>766.59999999999991</v>
      </c>
      <c r="AR266" s="87">
        <f t="shared" si="660"/>
        <v>45200</v>
      </c>
      <c r="AS266" s="23">
        <f>AS$5+SUM(AV$5:AV265)-SUM(X$5:X266)+SUM(W$5:W266)</f>
        <v>81956.80719176821</v>
      </c>
      <c r="AT266" s="22">
        <f t="shared" si="661"/>
        <v>-321.89218997960228</v>
      </c>
      <c r="AU266" s="22">
        <f>IF(AB266=1,IF(Q266="tak",AT266,PMT(M266/12,P266+1-SUM(AB$5:AB266),AS266)),0)</f>
        <v>-648.44807052437704</v>
      </c>
      <c r="AV266" s="22">
        <f t="shared" si="727"/>
        <v>-326.55588054477477</v>
      </c>
      <c r="AW266" s="22">
        <f t="shared" si="663"/>
        <v>-3067.6132872296703</v>
      </c>
      <c r="AY266" s="23">
        <f>AY$5+SUM(BA$5:BA265)+SUM(W$5:W265)-SUM(X$5:X265)</f>
        <v>67596.37143784207</v>
      </c>
      <c r="AZ266" s="23">
        <f t="shared" si="664"/>
        <v>-321.89218997960228</v>
      </c>
      <c r="BA266" s="23">
        <f t="shared" si="665"/>
        <v>-386.26</v>
      </c>
      <c r="BB266" s="23">
        <f t="shared" si="728"/>
        <v>-708.15218997960233</v>
      </c>
      <c r="BC266" s="23">
        <f t="shared" si="667"/>
        <v>-3350.0555651365044</v>
      </c>
      <c r="BE266" s="88">
        <f t="shared" si="668"/>
        <v>5.7799999999999997E-2</v>
      </c>
      <c r="BF266" s="89">
        <f>BE266+Dane_kredytowe!F$12</f>
        <v>8.7799999999999989E-2</v>
      </c>
      <c r="BG266" s="23">
        <f>BG$5+SUM(BH$5:BH265)+SUM(R$5:R265)-SUM(S$5:S265)</f>
        <v>208544.47735646658</v>
      </c>
      <c r="BH266" s="22">
        <f t="shared" si="729"/>
        <v>-591.09298539460929</v>
      </c>
      <c r="BI266" s="22">
        <f t="shared" si="730"/>
        <v>-1525.8504259914805</v>
      </c>
      <c r="BJ266" s="22">
        <f>IF(U266&lt;0,PMT(BF266/12,Dane_kredytowe!F$13-SUM(AB$5:AB266)+1,BG266),0)</f>
        <v>-2116.9434113860898</v>
      </c>
      <c r="BL266" s="23">
        <f>BL$5+SUM(BN$5:BN265)+SUM(R$5:R265)-SUM(S$5:S265)</f>
        <v>145833.33333333337</v>
      </c>
      <c r="BM266" s="23">
        <f t="shared" si="731"/>
        <v>-1067.0138888888889</v>
      </c>
      <c r="BN266" s="23">
        <f t="shared" si="672"/>
        <v>-833.3333333333336</v>
      </c>
      <c r="BO266" s="23">
        <f t="shared" si="732"/>
        <v>-1900.3472222222226</v>
      </c>
      <c r="BQ266" s="89">
        <f t="shared" si="733"/>
        <v>7.4499999999999997E-2</v>
      </c>
      <c r="BR266" s="23">
        <f>BR$5+SUM(BS$5:BS265)+SUM(R$5:R265)-SUM(S$5:S265)+SUM(BV$5:BV265)</f>
        <v>240564.08896819648</v>
      </c>
      <c r="BS266" s="22">
        <f t="shared" si="734"/>
        <v>-764.40054757063467</v>
      </c>
      <c r="BT266" s="22">
        <f t="shared" si="735"/>
        <v>-1493.5020523442197</v>
      </c>
      <c r="BU266" s="22">
        <f>IF(U266&lt;0,PMT(BQ266/12,Dane_kredytowe!F$13-SUM(AB$5:AB266)+1,BR266),0)</f>
        <v>-2257.9025999148544</v>
      </c>
      <c r="BV266" s="22">
        <f t="shared" si="707"/>
        <v>96.253920079034742</v>
      </c>
      <c r="BX266" s="23">
        <f>BX$5+SUM(BZ$5:BZ265)+SUM(R$5:R265)-SUM(S$5:S265)+SUM(CB$5,CB265)</f>
        <v>145466.74353311613</v>
      </c>
      <c r="BY266" s="22">
        <f t="shared" si="736"/>
        <v>-903.10603276809582</v>
      </c>
      <c r="BZ266" s="22">
        <f t="shared" si="678"/>
        <v>-831.23853447494923</v>
      </c>
      <c r="CA266" s="22">
        <f t="shared" si="737"/>
        <v>-1734.344567243045</v>
      </c>
      <c r="CB266" s="22">
        <f t="shared" si="738"/>
        <v>-427.30411259277457</v>
      </c>
      <c r="CD266" s="22">
        <f>CD$5+SUM(CE$5:CE265)+SUM(R$5:R265)-SUM(S$5:S265)-SUM(CF$5:CF265)</f>
        <v>193381.49724263017</v>
      </c>
      <c r="CE266" s="22">
        <f t="shared" si="739"/>
        <v>903.10603276809582</v>
      </c>
      <c r="CF266" s="22">
        <f t="shared" si="682"/>
        <v>2161.6486798358196</v>
      </c>
      <c r="CG266" s="22">
        <f t="shared" si="740"/>
        <v>1258.5426470677239</v>
      </c>
      <c r="CI266" s="89">
        <f t="shared" si="684"/>
        <v>3.44E-2</v>
      </c>
      <c r="CJ266" s="22">
        <f t="shared" si="685"/>
        <v>-74.36</v>
      </c>
      <c r="CK266" s="15">
        <f t="shared" si="713"/>
        <v>0</v>
      </c>
      <c r="CM266" s="22">
        <f t="shared" si="714"/>
        <v>-278962.48068850453</v>
      </c>
      <c r="CN266" s="15">
        <f t="shared" si="741"/>
        <v>-1343.6692819829634</v>
      </c>
    </row>
    <row r="267" spans="1:92">
      <c r="B267" s="80">
        <v>45231</v>
      </c>
      <c r="C267" s="81">
        <f t="shared" si="717"/>
        <v>4.5707000000000004</v>
      </c>
      <c r="D267" s="82">
        <f t="shared" si="716"/>
        <v>4.7078210000000009</v>
      </c>
      <c r="E267" s="73">
        <f t="shared" si="718"/>
        <v>-443.63160603622146</v>
      </c>
      <c r="F267" s="19">
        <f t="shared" si="719"/>
        <v>-2088.5381911610507</v>
      </c>
      <c r="G267" s="19">
        <f t="shared" si="720"/>
        <v>-1398.961867349291</v>
      </c>
      <c r="H267" s="19">
        <f t="shared" si="721"/>
        <v>689.57632381175972</v>
      </c>
      <c r="I267" s="62"/>
      <c r="K267" s="15">
        <f>IF(B267&lt;=Dane_kredytowe!F$9,0,K266+1)</f>
        <v>187</v>
      </c>
      <c r="L267" s="83">
        <f t="shared" si="722"/>
        <v>1.7131E-2</v>
      </c>
      <c r="M267" s="84">
        <f>L267+Dane_kredytowe!F$12</f>
        <v>4.7130999999999999E-2</v>
      </c>
      <c r="N267" s="79">
        <f>MAX(Dane_kredytowe!F$17+SUM(AA$5:AA266)-SUM(X$5:X267)+SUM(W$5:W267),0)</f>
        <v>55846.815090456876</v>
      </c>
      <c r="O267" s="85">
        <f>MAX(Dane_kredytowe!F$8+SUM(V$5:V266)-SUM(S$5:S267)+SUM(R$5:R266),0)</f>
        <v>176109.10417883343</v>
      </c>
      <c r="P267" s="67">
        <f t="shared" si="316"/>
        <v>360</v>
      </c>
      <c r="Q267" s="127" t="str">
        <f>IF(AND(K267&gt;0,K267&lt;=Dane_kredytowe!F$16),"tak","nie")</f>
        <v>nie</v>
      </c>
      <c r="R267" s="69"/>
      <c r="S267" s="86">
        <f>IF(Dane_kredytowe!F$19=B267,O266+V266,_xlfn.XLOOKUP(B267,Dane_kredytowe!M$9:M$18,Dane_kredytowe!N$9:N$18,0))</f>
        <v>0</v>
      </c>
      <c r="T267" s="71">
        <f t="shared" si="648"/>
        <v>-691.68318242104988</v>
      </c>
      <c r="U267" s="72">
        <f>IF(Q267="tak",T267,IF(P267-SUM(AB$5:AB267)+1&gt;0,IF(Dane_kredytowe!F$9&lt;B267,IF(SUM(AB$5:AB267)-Dane_kredytowe!F$16+1&gt;0,PMT(M267/12,P267+1-SUM(AB$5:AB267),O267),T267),0),0))</f>
        <v>-1398.961867349291</v>
      </c>
      <c r="V267" s="72">
        <f t="shared" si="692"/>
        <v>-707.27868492824109</v>
      </c>
      <c r="W267" s="19" t="str">
        <f t="shared" si="693"/>
        <v xml:space="preserve"> </v>
      </c>
      <c r="X267" s="19">
        <f t="shared" si="266"/>
        <v>0</v>
      </c>
      <c r="Y267" s="73">
        <f t="shared" si="649"/>
        <v>-219.34302016902691</v>
      </c>
      <c r="Z267" s="19">
        <f>IF(P267-SUM(AB$5:AB267)+1&gt;0,IF(Dane_kredytowe!F$9&lt;B267,IF(SUM(AB$5:AB267)-Dane_kredytowe!F$16+1&gt;0,PMT(M267/12,P267+1-SUM(AB$5:AB267),N267),Y267),0),0)</f>
        <v>-443.63160603622146</v>
      </c>
      <c r="AA267" s="19">
        <f t="shared" si="723"/>
        <v>-224.28858586719454</v>
      </c>
      <c r="AB267" s="20">
        <f>IF(AND(Dane_kredytowe!F$9&lt;B267,SUM(AB$5:AB266)&lt;P266),1," ")</f>
        <v>1</v>
      </c>
      <c r="AD267" s="75">
        <f>IF(OR(B267&lt;Dane_kredytowe!F$15,Dane_kredytowe!F$15=""),-F267+S267,0)</f>
        <v>0</v>
      </c>
      <c r="AE267" s="75">
        <f t="shared" si="651"/>
        <v>443.63160603622146</v>
      </c>
      <c r="AG267" s="22">
        <f>Dane_kredytowe!F$17-SUM(AI$5:AI266)+SUM(W$42:W267)-SUM(X$42:X267)</f>
        <v>45982.099999999969</v>
      </c>
      <c r="AH267" s="22">
        <f t="shared" si="652"/>
        <v>180.6</v>
      </c>
      <c r="AI267" s="22">
        <f t="shared" si="653"/>
        <v>264.26</v>
      </c>
      <c r="AJ267" s="22">
        <f t="shared" si="724"/>
        <v>444.86</v>
      </c>
      <c r="AK267" s="22">
        <f t="shared" si="655"/>
        <v>2094.3200000000002</v>
      </c>
      <c r="AL267" s="22">
        <f>Dane_kredytowe!F$8-SUM(AN$5:AN266)+SUM(R$42:R266)-SUM(S$42:S267)</f>
        <v>145000.2900000001</v>
      </c>
      <c r="AM267" s="22">
        <f t="shared" si="656"/>
        <v>569.5</v>
      </c>
      <c r="AN267" s="22">
        <f t="shared" si="657"/>
        <v>833.34</v>
      </c>
      <c r="AO267" s="22">
        <f t="shared" si="725"/>
        <v>1402.8400000000001</v>
      </c>
      <c r="AP267" s="22">
        <f t="shared" si="726"/>
        <v>691.48</v>
      </c>
      <c r="AR267" s="87">
        <f t="shared" si="660"/>
        <v>45231</v>
      </c>
      <c r="AS267" s="23">
        <f>AS$5+SUM(AV$5:AV266)-SUM(X$5:X267)+SUM(W$5:W267)</f>
        <v>81630.25131122343</v>
      </c>
      <c r="AT267" s="22">
        <f t="shared" si="661"/>
        <v>-320.60961454577262</v>
      </c>
      <c r="AU267" s="22">
        <f>IF(AB267=1,IF(Q267="tak",AT267,PMT(M267/12,P267+1-SUM(AB$5:AB267),AS267)),0)</f>
        <v>-648.44807052437693</v>
      </c>
      <c r="AV267" s="22">
        <f t="shared" si="727"/>
        <v>-327.83845597860432</v>
      </c>
      <c r="AW267" s="22">
        <f t="shared" si="663"/>
        <v>-2963.8615959457697</v>
      </c>
      <c r="AY267" s="23">
        <f>AY$5+SUM(BA$5:BA266)+SUM(W$5:W266)-SUM(X$5:X266)</f>
        <v>67210.111437842075</v>
      </c>
      <c r="AZ267" s="23">
        <f t="shared" si="664"/>
        <v>-320.60961454577262</v>
      </c>
      <c r="BA267" s="23">
        <f t="shared" si="665"/>
        <v>-386.27</v>
      </c>
      <c r="BB267" s="23">
        <f t="shared" si="728"/>
        <v>-706.8796145457726</v>
      </c>
      <c r="BC267" s="23">
        <f t="shared" si="667"/>
        <v>-3230.9346542043631</v>
      </c>
      <c r="BE267" s="88">
        <f t="shared" si="668"/>
        <v>5.6500000000000002E-2</v>
      </c>
      <c r="BF267" s="89">
        <f>BE267+Dane_kredytowe!F$12</f>
        <v>8.6499999999999994E-2</v>
      </c>
      <c r="BG267" s="23">
        <f>BG$5+SUM(BH$5:BH266)+SUM(R$5:R266)-SUM(S$5:S266)</f>
        <v>207953.38437107194</v>
      </c>
      <c r="BH267" s="22">
        <f t="shared" si="729"/>
        <v>-602.13408953906651</v>
      </c>
      <c r="BI267" s="22">
        <f t="shared" si="730"/>
        <v>-1498.9973123414768</v>
      </c>
      <c r="BJ267" s="22">
        <f>IF(U267&lt;0,PMT(BF267/12,Dane_kredytowe!F$13-SUM(AB$5:AB267)+1,BG267),0)</f>
        <v>-2101.1314018805433</v>
      </c>
      <c r="BL267" s="23">
        <f>BL$5+SUM(BN$5:BN266)+SUM(R$5:R266)-SUM(S$5:S266)</f>
        <v>145000.00000000003</v>
      </c>
      <c r="BM267" s="23">
        <f t="shared" si="731"/>
        <v>-1045.2083333333335</v>
      </c>
      <c r="BN267" s="23">
        <f t="shared" si="672"/>
        <v>-833.33333333333348</v>
      </c>
      <c r="BO267" s="23">
        <f t="shared" si="732"/>
        <v>-1878.541666666667</v>
      </c>
      <c r="BQ267" s="89">
        <f t="shared" si="733"/>
        <v>7.3200000000000001E-2</v>
      </c>
      <c r="BR267" s="23">
        <f>BR$5+SUM(BS$5:BS266)+SUM(R$5:R266)-SUM(S$5:S266)+SUM(BV$5:BV266)</f>
        <v>239895.94234070485</v>
      </c>
      <c r="BS267" s="22">
        <f t="shared" si="734"/>
        <v>-777.92622632655934</v>
      </c>
      <c r="BT267" s="22">
        <f t="shared" si="735"/>
        <v>-1463.3652482782998</v>
      </c>
      <c r="BU267" s="22">
        <f>IF(U267&lt;0,PMT(BQ267/12,Dane_kredytowe!F$13-SUM(AB$5:AB267)+1,BR267),0)</f>
        <v>-2241.2914746048591</v>
      </c>
      <c r="BV267" s="22">
        <f t="shared" si="707"/>
        <v>152.75328344380841</v>
      </c>
      <c r="BX267" s="23">
        <f>BX$5+SUM(BZ$5:BZ266)+SUM(R$5:R266)-SUM(S$5:S266)+SUM(CB$5,CB266)</f>
        <v>144532.51527363039</v>
      </c>
      <c r="BY267" s="22">
        <f t="shared" si="736"/>
        <v>-881.64834316914539</v>
      </c>
      <c r="BZ267" s="22">
        <f t="shared" si="678"/>
        <v>-830.64663950362296</v>
      </c>
      <c r="CA267" s="22">
        <f t="shared" si="737"/>
        <v>-1712.2949826727684</v>
      </c>
      <c r="CB267" s="22">
        <f t="shared" si="738"/>
        <v>-376.24320848828233</v>
      </c>
      <c r="CD267" s="22">
        <f>CD$5+SUM(CE$5:CE266)+SUM(R$5:R266)-SUM(S$5:S266)-SUM(CF$5:CF266)</f>
        <v>192122.95459556242</v>
      </c>
      <c r="CE267" s="22">
        <f t="shared" si="739"/>
        <v>881.64834316914539</v>
      </c>
      <c r="CF267" s="22">
        <f t="shared" si="682"/>
        <v>2088.5381911610507</v>
      </c>
      <c r="CG267" s="22">
        <f t="shared" si="740"/>
        <v>1206.8898479919053</v>
      </c>
      <c r="CI267" s="89">
        <f t="shared" si="684"/>
        <v>3.44E-2</v>
      </c>
      <c r="CJ267" s="22">
        <f t="shared" si="685"/>
        <v>-71.849999999999994</v>
      </c>
      <c r="CK267" s="15">
        <f t="shared" si="713"/>
        <v>0</v>
      </c>
      <c r="CM267" s="22">
        <f t="shared" si="714"/>
        <v>-281051.01887966559</v>
      </c>
      <c r="CN267" s="15">
        <f t="shared" si="741"/>
        <v>-1323.2818805584254</v>
      </c>
    </row>
    <row r="268" spans="1:92">
      <c r="B268" s="129">
        <f>EDATE(B267,1)</f>
        <v>45261</v>
      </c>
      <c r="C268" s="128">
        <f t="shared" si="717"/>
        <v>4.5910000000000002</v>
      </c>
      <c r="D268" s="82">
        <f t="shared" si="716"/>
        <v>4.7287300000000005</v>
      </c>
      <c r="E268" s="73">
        <f t="shared" si="718"/>
        <v>-443.63160603622151</v>
      </c>
      <c r="F268" s="19">
        <f t="shared" si="719"/>
        <v>-2097.814084411662</v>
      </c>
      <c r="G268" s="19">
        <f t="shared" si="720"/>
        <v>-1398.961867349291</v>
      </c>
      <c r="H268" s="19">
        <f t="shared" si="721"/>
        <v>698.85221706237098</v>
      </c>
      <c r="I268" s="62"/>
      <c r="K268" s="15">
        <f>IF(B268&lt;=Dane_kredytowe!F$9,0,K267+1)</f>
        <v>188</v>
      </c>
      <c r="L268" s="83">
        <f t="shared" si="722"/>
        <v>1.7131E-2</v>
      </c>
      <c r="M268" s="84">
        <f>L268+Dane_kredytowe!F$12</f>
        <v>4.7130999999999999E-2</v>
      </c>
      <c r="N268" s="79">
        <f>MAX(Dane_kredytowe!F$17+SUM(AA$5:AA267)-SUM(X$5:X268)+SUM(W$5:W268),0)</f>
        <v>55622.526504589681</v>
      </c>
      <c r="O268" s="85">
        <f>MAX(Dane_kredytowe!F$8+SUM(V$5:V267)-SUM(S$5:S268)+SUM(R$5:R267),0)</f>
        <v>175401.82549390517</v>
      </c>
      <c r="P268" s="67">
        <f t="shared" si="316"/>
        <v>360</v>
      </c>
      <c r="Q268" s="127" t="str">
        <f>IF(AND(K268&gt;0,K268&lt;=Dane_kredytowe!F$16),"tak","nie")</f>
        <v>nie</v>
      </c>
      <c r="R268" s="69"/>
      <c r="S268" s="86">
        <f>IF(Dane_kredytowe!F$19=B268,O267+V267,_xlfn.XLOOKUP(B268,Dane_kredytowe!M$9:M$18,Dane_kredytowe!N$9:N$18,0))</f>
        <v>0</v>
      </c>
      <c r="T268" s="71">
        <f t="shared" si="648"/>
        <v>-688.90528644610367</v>
      </c>
      <c r="U268" s="72">
        <f>IF(Q268="tak",T268,IF(P268-SUM(AB$5:AB268)+1&gt;0,IF(Dane_kredytowe!F$9&lt;B268,IF(SUM(AB$5:AB268)-Dane_kredytowe!F$16+1&gt;0,PMT(M268/12,P268+1-SUM(AB$5:AB268),O268),T268),0),0))</f>
        <v>-1398.961867349291</v>
      </c>
      <c r="V268" s="72">
        <f t="shared" si="692"/>
        <v>-710.0565809031873</v>
      </c>
      <c r="W268" s="19" t="str">
        <f t="shared" si="693"/>
        <v xml:space="preserve"> </v>
      </c>
      <c r="X268" s="19">
        <f t="shared" si="266"/>
        <v>0</v>
      </c>
      <c r="Y268" s="73">
        <f t="shared" si="649"/>
        <v>-218.46210805731801</v>
      </c>
      <c r="Z268" s="19">
        <f>IF(P268-SUM(AB$5:AB268)+1&gt;0,IF(Dane_kredytowe!F$9&lt;B268,IF(SUM(AB$5:AB268)-Dane_kredytowe!F$16+1&gt;0,PMT(M268/12,P268+1-SUM(AB$5:AB268),N268),Y268),0),0)</f>
        <v>-443.63160603622151</v>
      </c>
      <c r="AA268" s="19">
        <f t="shared" si="723"/>
        <v>-225.16949797890351</v>
      </c>
      <c r="AB268" s="20">
        <f>IF(AND(Dane_kredytowe!F$9&lt;B268,SUM(AB$5:AB267)&lt;P267),1," ")</f>
        <v>1</v>
      </c>
      <c r="AD268" s="75">
        <f>IF(OR(B268&lt;Dane_kredytowe!F$15,Dane_kredytowe!F$15=""),-F268+S268,0)</f>
        <v>0</v>
      </c>
      <c r="AE268" s="75">
        <f t="shared" si="651"/>
        <v>443.63160603622151</v>
      </c>
      <c r="AG268" s="22">
        <f>Dane_kredytowe!F$17-SUM(AI$5:AI267)+SUM(W$42:W268)-SUM(X$42:X268)</f>
        <v>45717.839999999967</v>
      </c>
      <c r="AH268" s="22">
        <f t="shared" si="652"/>
        <v>179.56</v>
      </c>
      <c r="AI268" s="22">
        <f t="shared" si="653"/>
        <v>264.26</v>
      </c>
      <c r="AJ268" s="22">
        <f t="shared" si="724"/>
        <v>443.82</v>
      </c>
      <c r="AK268" s="22">
        <f t="shared" si="655"/>
        <v>2098.6999999999998</v>
      </c>
      <c r="AL268" s="22">
        <f>Dane_kredytowe!F$8-SUM(AN$5:AN267)+SUM(R$42:R267)-SUM(S$42:S268)</f>
        <v>144166.9500000001</v>
      </c>
      <c r="AM268" s="22">
        <f t="shared" si="656"/>
        <v>566.23</v>
      </c>
      <c r="AN268" s="22">
        <f t="shared" si="657"/>
        <v>833.33</v>
      </c>
      <c r="AO268" s="22">
        <f t="shared" si="725"/>
        <v>1399.56</v>
      </c>
      <c r="AP268" s="22">
        <f t="shared" si="726"/>
        <v>699.13999999999987</v>
      </c>
      <c r="AR268" s="87">
        <f t="shared" si="660"/>
        <v>45261</v>
      </c>
      <c r="AS268" s="23">
        <f>AS$5+SUM(AV$5:AV267)-SUM(X$5:X268)+SUM(W$5:W268)</f>
        <v>81302.412855244824</v>
      </c>
      <c r="AT268" s="22">
        <f t="shared" si="661"/>
        <v>-319.32200169004528</v>
      </c>
      <c r="AU268" s="22">
        <f>IF(AB268=1,IF(Q268="tak",AT268,PMT(M268/12,P268+1-SUM(AB$5:AB268),AS268)),0)</f>
        <v>-648.44807052437704</v>
      </c>
      <c r="AV268" s="22">
        <f t="shared" si="727"/>
        <v>-329.12606883433176</v>
      </c>
      <c r="AW268" s="22">
        <f t="shared" si="663"/>
        <v>-2977.0250917774151</v>
      </c>
      <c r="AY268" s="23">
        <f>AY$5+SUM(BA$5:BA267)+SUM(W$5:W267)-SUM(X$5:X267)</f>
        <v>66823.841437842071</v>
      </c>
      <c r="AZ268" s="23">
        <f t="shared" si="664"/>
        <v>-319.32200169004528</v>
      </c>
      <c r="BA268" s="23">
        <f t="shared" si="665"/>
        <v>-386.26</v>
      </c>
      <c r="BB268" s="23">
        <f t="shared" si="728"/>
        <v>-705.58200169004522</v>
      </c>
      <c r="BC268" s="23">
        <f t="shared" si="667"/>
        <v>-3239.3269697589976</v>
      </c>
      <c r="BE268" s="88">
        <f t="shared" si="668"/>
        <v>5.6500000000000002E-2</v>
      </c>
      <c r="BF268" s="89">
        <f>BE268+Dane_kredytowe!F$12</f>
        <v>8.6499999999999994E-2</v>
      </c>
      <c r="BG268" s="23">
        <f>BG$5+SUM(BH$5:BH267)+SUM(R$5:R267)-SUM(S$5:S267)</f>
        <v>207351.25028153288</v>
      </c>
      <c r="BH268" s="22">
        <f t="shared" si="729"/>
        <v>-606.47447276782714</v>
      </c>
      <c r="BI268" s="22">
        <f t="shared" si="730"/>
        <v>-1494.6569291127162</v>
      </c>
      <c r="BJ268" s="22">
        <f>IF(U268&lt;0,PMT(BF268/12,Dane_kredytowe!F$13-SUM(AB$5:AB268)+1,BG268),0)</f>
        <v>-2101.1314018805433</v>
      </c>
      <c r="BL268" s="23">
        <f>BL$5+SUM(BN$5:BN267)+SUM(R$5:R267)-SUM(S$5:S267)</f>
        <v>144166.66666666669</v>
      </c>
      <c r="BM268" s="23">
        <f t="shared" si="731"/>
        <v>-1039.2013888888889</v>
      </c>
      <c r="BN268" s="23">
        <f t="shared" si="672"/>
        <v>-833.33333333333348</v>
      </c>
      <c r="BO268" s="23">
        <f t="shared" si="732"/>
        <v>-1872.5347222222224</v>
      </c>
      <c r="BQ268" s="89">
        <f t="shared" si="733"/>
        <v>7.3200000000000001E-2</v>
      </c>
      <c r="BR268" s="23">
        <f>BR$5+SUM(BS$5:BS267)+SUM(R$5:R267)-SUM(S$5:S267)+SUM(BV$5:BV267)</f>
        <v>239270.76939782212</v>
      </c>
      <c r="BS268" s="22">
        <f t="shared" si="734"/>
        <v>-783.17156227676537</v>
      </c>
      <c r="BT268" s="22">
        <f t="shared" si="735"/>
        <v>-1459.5516933267152</v>
      </c>
      <c r="BU268" s="22">
        <f>IF(U268&lt;0,PMT(BQ268/12,Dane_kredytowe!F$13-SUM(AB$5:AB268)+1,BR268),0)</f>
        <v>-2242.7232556034805</v>
      </c>
      <c r="BV268" s="22">
        <f t="shared" si="707"/>
        <v>144.90917119181859</v>
      </c>
      <c r="BX268" s="23">
        <f>BX$5+SUM(BZ$5:BZ267)+SUM(R$5:R267)-SUM(S$5:S267)+SUM(CB$5,CB267)</f>
        <v>143752.92953823126</v>
      </c>
      <c r="BY268" s="22">
        <f t="shared" si="736"/>
        <v>-876.89287018321068</v>
      </c>
      <c r="BZ268" s="22">
        <f t="shared" si="678"/>
        <v>-830.94178923833101</v>
      </c>
      <c r="CA268" s="22">
        <f t="shared" si="737"/>
        <v>-1707.8346594215418</v>
      </c>
      <c r="CB268" s="22">
        <f t="shared" si="738"/>
        <v>-389.97942499012015</v>
      </c>
      <c r="CD268" s="22">
        <f>CD$5+SUM(CE$5:CE267)+SUM(R$5:R267)-SUM(S$5:S267)-SUM(CF$5:CF267)</f>
        <v>190916.06474757049</v>
      </c>
      <c r="CE268" s="22">
        <f t="shared" si="739"/>
        <v>876.89287018321068</v>
      </c>
      <c r="CF268" s="22">
        <f t="shared" si="682"/>
        <v>2097.814084411662</v>
      </c>
      <c r="CG268" s="22">
        <f t="shared" si="740"/>
        <v>1220.9212142284514</v>
      </c>
      <c r="CI268" s="89">
        <f t="shared" si="684"/>
        <v>3.44E-2</v>
      </c>
      <c r="CJ268" s="22">
        <f t="shared" si="685"/>
        <v>-72.16</v>
      </c>
      <c r="CK268" s="15">
        <f t="shared" si="713"/>
        <v>0</v>
      </c>
      <c r="CM268" s="22">
        <f t="shared" si="714"/>
        <v>-283148.83296407724</v>
      </c>
      <c r="CN268" s="15">
        <f t="shared" si="741"/>
        <v>-1333.159088539197</v>
      </c>
    </row>
    <row r="269" spans="1:92">
      <c r="B269" s="129">
        <f t="shared" ref="B269:B276" si="742">EDATE(B268,1)</f>
        <v>45292</v>
      </c>
      <c r="C269" s="128">
        <f t="shared" si="717"/>
        <v>4.6620999999999997</v>
      </c>
      <c r="D269" s="82">
        <f t="shared" si="716"/>
        <v>4.8019629999999998</v>
      </c>
      <c r="E269" s="73">
        <f t="shared" si="718"/>
        <v>-443.63160603622151</v>
      </c>
      <c r="F269" s="19">
        <f t="shared" si="719"/>
        <v>-2130.302557816512</v>
      </c>
      <c r="G269" s="19">
        <f t="shared" si="720"/>
        <v>-1398.961867349291</v>
      </c>
      <c r="H269" s="19">
        <f t="shared" si="721"/>
        <v>731.34069046722107</v>
      </c>
      <c r="I269" s="62"/>
      <c r="K269" s="15">
        <f>IF(B269&lt;=Dane_kredytowe!F$9,0,K268+1)</f>
        <v>189</v>
      </c>
      <c r="L269" s="83">
        <f t="shared" si="722"/>
        <v>1.7131E-2</v>
      </c>
      <c r="M269" s="84">
        <f>L269+Dane_kredytowe!F$12</f>
        <v>4.7130999999999999E-2</v>
      </c>
      <c r="N269" s="79">
        <f>MAX(Dane_kredytowe!F$17+SUM(AA$5:AA268)-SUM(X$5:X269)+SUM(W$5:W269),0)</f>
        <v>55397.357006610779</v>
      </c>
      <c r="O269" s="85">
        <f>MAX(Dane_kredytowe!F$8+SUM(V$5:V268)-SUM(S$5:S269)+SUM(R$5:R268),0)</f>
        <v>174691.76891300199</v>
      </c>
      <c r="P269" s="67">
        <f t="shared" si="316"/>
        <v>360</v>
      </c>
      <c r="Q269" s="127" t="str">
        <f>IF(AND(K269&gt;0,K269&lt;=Dane_kredytowe!F$16),"tak","nie")</f>
        <v>nie</v>
      </c>
      <c r="R269" s="69"/>
      <c r="S269" s="86">
        <f>IF(Dane_kredytowe!F$19=B269,O268+V268,_xlfn.XLOOKUP(B269,Dane_kredytowe!M$9:M$18,Dane_kredytowe!N$9:N$18,0))</f>
        <v>0</v>
      </c>
      <c r="T269" s="71">
        <f t="shared" si="648"/>
        <v>-686.11648005322468</v>
      </c>
      <c r="U269" s="72">
        <f>IF(Q269="tak",T269,IF(P269-SUM(AB$5:AB269)+1&gt;0,IF(Dane_kredytowe!F$9&lt;B269,IF(SUM(AB$5:AB269)-Dane_kredytowe!F$16+1&gt;0,PMT(M269/12,P269+1-SUM(AB$5:AB269),O269),T269),0),0))</f>
        <v>-1398.961867349291</v>
      </c>
      <c r="V269" s="72">
        <f t="shared" si="692"/>
        <v>-712.84538729606629</v>
      </c>
      <c r="W269" s="19" t="str">
        <f t="shared" si="693"/>
        <v xml:space="preserve"> </v>
      </c>
      <c r="X269" s="19">
        <f t="shared" si="266"/>
        <v>0</v>
      </c>
      <c r="Y269" s="73">
        <f t="shared" si="649"/>
        <v>-217.57773608988103</v>
      </c>
      <c r="Z269" s="19">
        <f>IF(P269-SUM(AB$5:AB269)+1&gt;0,IF(Dane_kredytowe!F$9&lt;B269,IF(SUM(AB$5:AB269)-Dane_kredytowe!F$16+1&gt;0,PMT(M269/12,P269+1-SUM(AB$5:AB269),N269),Y269),0),0)</f>
        <v>-443.63160603622151</v>
      </c>
      <c r="AA269" s="19">
        <f t="shared" si="723"/>
        <v>-226.05386994634048</v>
      </c>
      <c r="AB269" s="20">
        <f>IF(AND(Dane_kredytowe!F$9&lt;B269,SUM(AB$5:AB268)&lt;P268),1," ")</f>
        <v>1</v>
      </c>
      <c r="AD269" s="75">
        <f>IF(OR(B269&lt;Dane_kredytowe!F$15,Dane_kredytowe!F$15=""),-F269+S269,0)</f>
        <v>0</v>
      </c>
      <c r="AE269" s="75">
        <f t="shared" si="651"/>
        <v>443.63160603622151</v>
      </c>
      <c r="AG269" s="22">
        <f>Dane_kredytowe!F$17-SUM(AI$5:AI268)+SUM(W$42:W269)-SUM(X$42:X269)</f>
        <v>45453.579999999965</v>
      </c>
      <c r="AH269" s="22">
        <f t="shared" si="652"/>
        <v>178.52</v>
      </c>
      <c r="AI269" s="22">
        <f t="shared" si="653"/>
        <v>264.27</v>
      </c>
      <c r="AJ269" s="22">
        <f t="shared" si="724"/>
        <v>442.78999999999996</v>
      </c>
      <c r="AK269" s="22">
        <f t="shared" si="655"/>
        <v>2126.2600000000002</v>
      </c>
      <c r="AL269" s="22">
        <f>Dane_kredytowe!F$8-SUM(AN$5:AN268)+SUM(R$42:R268)-SUM(S$42:S269)</f>
        <v>143333.62000000011</v>
      </c>
      <c r="AM269" s="22">
        <f t="shared" si="656"/>
        <v>562.95000000000005</v>
      </c>
      <c r="AN269" s="22">
        <f t="shared" si="657"/>
        <v>833.34</v>
      </c>
      <c r="AO269" s="22">
        <f t="shared" si="725"/>
        <v>1396.29</v>
      </c>
      <c r="AP269" s="22">
        <f t="shared" si="726"/>
        <v>729.97000000000025</v>
      </c>
      <c r="AR269" s="87">
        <f t="shared" si="660"/>
        <v>45292</v>
      </c>
      <c r="AS269" s="23">
        <f>AS$5+SUM(AV$5:AV268)-SUM(X$5:X269)+SUM(W$5:W269)</f>
        <v>80973.286786410492</v>
      </c>
      <c r="AT269" s="22">
        <f t="shared" si="661"/>
        <v>-318.02933162752606</v>
      </c>
      <c r="AU269" s="22">
        <f>IF(AB269=1,IF(Q269="tak",AT269,PMT(M269/12,P269+1-SUM(AB$5:AB269),AS269)),0)</f>
        <v>-648.44807052437693</v>
      </c>
      <c r="AV269" s="22">
        <f t="shared" si="727"/>
        <v>-330.41873889685087</v>
      </c>
      <c r="AW269" s="22">
        <f t="shared" si="663"/>
        <v>-3023.1297495916974</v>
      </c>
      <c r="AY269" s="23">
        <f>AY$5+SUM(BA$5:BA268)+SUM(W$5:W268)-SUM(X$5:X268)</f>
        <v>66437.581437842076</v>
      </c>
      <c r="AZ269" s="23">
        <f t="shared" si="664"/>
        <v>-318.02933162752606</v>
      </c>
      <c r="BA269" s="23">
        <f t="shared" si="665"/>
        <v>-386.27</v>
      </c>
      <c r="BB269" s="23">
        <f t="shared" si="728"/>
        <v>-704.29933162752604</v>
      </c>
      <c r="BC269" s="23">
        <f t="shared" si="667"/>
        <v>-3283.5139139806888</v>
      </c>
      <c r="BE269" s="88">
        <f t="shared" si="668"/>
        <v>5.6500000000000002E-2</v>
      </c>
      <c r="BF269" s="89">
        <f>BE269+Dane_kredytowe!F$12</f>
        <v>8.6499999999999994E-2</v>
      </c>
      <c r="BG269" s="23">
        <f>BG$5+SUM(BH$5:BH268)+SUM(R$5:R268)-SUM(S$5:S268)</f>
        <v>206744.77580876506</v>
      </c>
      <c r="BH269" s="22">
        <f t="shared" si="729"/>
        <v>-610.84614292569518</v>
      </c>
      <c r="BI269" s="22">
        <f t="shared" si="730"/>
        <v>-1490.2852589548481</v>
      </c>
      <c r="BJ269" s="22">
        <f>IF(U269&lt;0,PMT(BF269/12,Dane_kredytowe!F$13-SUM(AB$5:AB269)+1,BG269),0)</f>
        <v>-2101.1314018805433</v>
      </c>
      <c r="BL269" s="23">
        <f>BL$5+SUM(BN$5:BN268)+SUM(R$5:R268)-SUM(S$5:S268)</f>
        <v>143333.33333333334</v>
      </c>
      <c r="BM269" s="23">
        <f t="shared" si="731"/>
        <v>-1033.1944444444446</v>
      </c>
      <c r="BN269" s="23">
        <f t="shared" si="672"/>
        <v>-833.33333333333337</v>
      </c>
      <c r="BO269" s="23">
        <f t="shared" si="732"/>
        <v>-1866.5277777777778</v>
      </c>
      <c r="BQ269" s="89">
        <f t="shared" si="733"/>
        <v>7.3200000000000001E-2</v>
      </c>
      <c r="BR269" s="23">
        <f>BR$5+SUM(BS$5:BS268)+SUM(R$5:R268)-SUM(S$5:S268)+SUM(BV$5:BV268)</f>
        <v>238632.50700673717</v>
      </c>
      <c r="BS269" s="22">
        <f t="shared" si="734"/>
        <v>-788.42768013209366</v>
      </c>
      <c r="BT269" s="22">
        <f t="shared" si="735"/>
        <v>-1455.6582927410966</v>
      </c>
      <c r="BU269" s="22">
        <f>IF(U269&lt;0,PMT(BQ269/12,Dane_kredytowe!F$13-SUM(AB$5:AB269)+1,BR269),0)</f>
        <v>-2244.0859728731903</v>
      </c>
      <c r="BV269" s="22">
        <f t="shared" si="707"/>
        <v>113.78341505667822</v>
      </c>
      <c r="BX269" s="23">
        <f>BX$5+SUM(BZ$5:BZ268)+SUM(R$5:R268)-SUM(S$5:S268)+SUM(CB$5,CB268)</f>
        <v>142908.25153249106</v>
      </c>
      <c r="BY269" s="22">
        <f t="shared" si="736"/>
        <v>-871.74033434819557</v>
      </c>
      <c r="BZ269" s="22">
        <f t="shared" si="678"/>
        <v>-830.86192751448289</v>
      </c>
      <c r="CA269" s="22">
        <f t="shared" si="737"/>
        <v>-1702.6022618626785</v>
      </c>
      <c r="CB269" s="22">
        <f t="shared" si="738"/>
        <v>-427.70029595383357</v>
      </c>
      <c r="CD269" s="22">
        <f>CD$5+SUM(CE$5:CE268)+SUM(R$5:R268)-SUM(S$5:S268)-SUM(CF$5:CF268)</f>
        <v>189695.14353334205</v>
      </c>
      <c r="CE269" s="22">
        <f t="shared" si="739"/>
        <v>871.74033434819557</v>
      </c>
      <c r="CF269" s="22">
        <f t="shared" si="682"/>
        <v>2130.302557816512</v>
      </c>
      <c r="CG269" s="22">
        <f t="shared" si="740"/>
        <v>1258.5622234683165</v>
      </c>
      <c r="CI269" s="89">
        <f t="shared" si="684"/>
        <v>3.44E-2</v>
      </c>
      <c r="CJ269" s="22">
        <f t="shared" si="685"/>
        <v>-73.28</v>
      </c>
      <c r="CK269" s="15">
        <f t="shared" si="713"/>
        <v>0</v>
      </c>
      <c r="CM269" s="22">
        <f t="shared" si="714"/>
        <v>-285279.13552189374</v>
      </c>
      <c r="CN269" s="15">
        <f t="shared" si="741"/>
        <v>-1343.1892630822497</v>
      </c>
    </row>
    <row r="270" spans="1:92">
      <c r="B270" s="129">
        <f t="shared" si="742"/>
        <v>45323</v>
      </c>
      <c r="C270" s="128">
        <f t="shared" si="717"/>
        <v>4.5766</v>
      </c>
      <c r="D270" s="82">
        <f t="shared" si="716"/>
        <v>4.7138980000000004</v>
      </c>
      <c r="E270" s="73">
        <f t="shared" si="718"/>
        <v>-443.63160603622163</v>
      </c>
      <c r="F270" s="19">
        <f t="shared" si="719"/>
        <v>-2091.2341404309332</v>
      </c>
      <c r="G270" s="19">
        <f t="shared" si="720"/>
        <v>-1398.9618673492914</v>
      </c>
      <c r="H270" s="19">
        <f t="shared" si="721"/>
        <v>692.27227308164174</v>
      </c>
      <c r="I270" s="62"/>
      <c r="K270" s="15">
        <f>IF(B270&lt;=Dane_kredytowe!F$9,0,K269+1)</f>
        <v>190</v>
      </c>
      <c r="L270" s="83">
        <f t="shared" si="722"/>
        <v>1.7131E-2</v>
      </c>
      <c r="M270" s="84">
        <f>L270+Dane_kredytowe!F$12</f>
        <v>4.7130999999999999E-2</v>
      </c>
      <c r="N270" s="79">
        <f>MAX(Dane_kredytowe!F$17+SUM(AA$5:AA269)-SUM(X$5:X270)+SUM(W$5:W270),0)</f>
        <v>55171.303136664435</v>
      </c>
      <c r="O270" s="85">
        <f>MAX(Dane_kredytowe!F$8+SUM(V$5:V269)-SUM(S$5:S270)+SUM(R$5:R269),0)</f>
        <v>173978.92352570593</v>
      </c>
      <c r="P270" s="67">
        <f t="shared" si="316"/>
        <v>360</v>
      </c>
      <c r="Q270" s="127" t="str">
        <f>IF(AND(K270&gt;0,K270&lt;=Dane_kredytowe!F$16),"tak","nie")</f>
        <v>nie</v>
      </c>
      <c r="R270" s="69"/>
      <c r="S270" s="86">
        <f>IF(Dane_kredytowe!F$19=B270,O269+V269,_xlfn.XLOOKUP(B270,Dane_kredytowe!M$9:M$18,Dane_kredytowe!N$9:N$18,0))</f>
        <v>0</v>
      </c>
      <c r="T270" s="71">
        <f t="shared" si="648"/>
        <v>-683.31672039083708</v>
      </c>
      <c r="U270" s="72">
        <f>IF(Q270="tak",T270,IF(P270-SUM(AB$5:AB270)+1&gt;0,IF(Dane_kredytowe!F$9&lt;B270,IF(SUM(AB$5:AB270)-Dane_kredytowe!F$16+1&gt;0,PMT(M270/12,P270+1-SUM(AB$5:AB270),O270),T270),0),0))</f>
        <v>-1398.9618673492914</v>
      </c>
      <c r="V270" s="72">
        <f t="shared" si="692"/>
        <v>-715.64514695845435</v>
      </c>
      <c r="W270" s="19" t="str">
        <f t="shared" si="693"/>
        <v xml:space="preserve"> </v>
      </c>
      <c r="X270" s="19">
        <f t="shared" si="266"/>
        <v>0</v>
      </c>
      <c r="Y270" s="73">
        <f t="shared" si="649"/>
        <v>-216.68989067784426</v>
      </c>
      <c r="Z270" s="19">
        <f>IF(P270-SUM(AB$5:AB270)+1&gt;0,IF(Dane_kredytowe!F$9&lt;B270,IF(SUM(AB$5:AB270)-Dane_kredytowe!F$16+1&gt;0,PMT(M270/12,P270+1-SUM(AB$5:AB270),N270),Y270),0),0)</f>
        <v>-443.63160603622163</v>
      </c>
      <c r="AA270" s="19">
        <f t="shared" si="723"/>
        <v>-226.94171535837737</v>
      </c>
      <c r="AB270" s="20">
        <f>IF(AND(Dane_kredytowe!F$9&lt;B270,SUM(AB$5:AB269)&lt;P269),1," ")</f>
        <v>1</v>
      </c>
      <c r="AD270" s="75">
        <f>IF(OR(B270&lt;Dane_kredytowe!F$15,Dane_kredytowe!F$15=""),-F270+S270,0)</f>
        <v>0</v>
      </c>
      <c r="AE270" s="75">
        <f t="shared" si="651"/>
        <v>443.63160603622163</v>
      </c>
      <c r="AG270" s="22">
        <f>Dane_kredytowe!F$17-SUM(AI$5:AI269)+SUM(W$42:W270)-SUM(X$42:X270)</f>
        <v>45189.309999999969</v>
      </c>
      <c r="AH270" s="22">
        <f t="shared" si="652"/>
        <v>177.48</v>
      </c>
      <c r="AI270" s="22">
        <f t="shared" si="653"/>
        <v>264.26</v>
      </c>
      <c r="AJ270" s="22">
        <f t="shared" si="724"/>
        <v>441.74</v>
      </c>
      <c r="AK270" s="22">
        <f t="shared" si="655"/>
        <v>2082.3200000000002</v>
      </c>
      <c r="AL270" s="22">
        <f>Dane_kredytowe!F$8-SUM(AN$5:AN269)+SUM(R$42:R269)-SUM(S$42:S270)</f>
        <v>142500.28000000012</v>
      </c>
      <c r="AM270" s="22">
        <f t="shared" si="656"/>
        <v>559.67999999999995</v>
      </c>
      <c r="AN270" s="22">
        <f t="shared" si="657"/>
        <v>833.33</v>
      </c>
      <c r="AO270" s="22">
        <f t="shared" si="725"/>
        <v>1393.01</v>
      </c>
      <c r="AP270" s="22">
        <f t="shared" si="726"/>
        <v>689.31000000000017</v>
      </c>
      <c r="AR270" s="87">
        <f t="shared" si="660"/>
        <v>45323</v>
      </c>
      <c r="AS270" s="23">
        <f>AS$5+SUM(AV$5:AV269)-SUM(X$5:X270)+SUM(W$5:W270)</f>
        <v>80642.86804751365</v>
      </c>
      <c r="AT270" s="22">
        <f t="shared" si="661"/>
        <v>-316.73158449561384</v>
      </c>
      <c r="AU270" s="22">
        <f>IF(AB270=1,IF(Q270="tak",AT270,PMT(M270/12,P270+1-SUM(AB$5:AB270),AS270)),0)</f>
        <v>-648.44807052437727</v>
      </c>
      <c r="AV270" s="22">
        <f t="shared" si="727"/>
        <v>-331.71648602876343</v>
      </c>
      <c r="AW270" s="22">
        <f t="shared" si="663"/>
        <v>-2967.6874395618652</v>
      </c>
      <c r="AY270" s="23">
        <f>AY$5+SUM(BA$5:BA269)+SUM(W$5:W269)-SUM(X$5:X269)</f>
        <v>66051.311437842072</v>
      </c>
      <c r="AZ270" s="23">
        <f t="shared" si="664"/>
        <v>-316.73158449561384</v>
      </c>
      <c r="BA270" s="23">
        <f t="shared" si="665"/>
        <v>-386.26</v>
      </c>
      <c r="BB270" s="23">
        <f t="shared" si="728"/>
        <v>-702.99158449561378</v>
      </c>
      <c r="BC270" s="23">
        <f t="shared" si="667"/>
        <v>-3217.311285602626</v>
      </c>
      <c r="BE270" s="88">
        <f t="shared" si="668"/>
        <v>5.6500000000000002E-2</v>
      </c>
      <c r="BF270" s="89">
        <f>BE270+Dane_kredytowe!F$12</f>
        <v>8.6499999999999994E-2</v>
      </c>
      <c r="BG270" s="23">
        <f>BG$5+SUM(BH$5:BH269)+SUM(R$5:R269)-SUM(S$5:S269)</f>
        <v>206133.92966583936</v>
      </c>
      <c r="BH270" s="22">
        <f t="shared" si="729"/>
        <v>-615.24932553928465</v>
      </c>
      <c r="BI270" s="22">
        <f t="shared" si="730"/>
        <v>-1485.8820763412587</v>
      </c>
      <c r="BJ270" s="22">
        <f>IF(U270&lt;0,PMT(BF270/12,Dane_kredytowe!F$13-SUM(AB$5:AB270)+1,BG270),0)</f>
        <v>-2101.1314018805433</v>
      </c>
      <c r="BL270" s="23">
        <f>BL$5+SUM(BN$5:BN269)+SUM(R$5:R269)-SUM(S$5:S269)</f>
        <v>142500</v>
      </c>
      <c r="BM270" s="23">
        <f t="shared" si="731"/>
        <v>-1027.1874999999998</v>
      </c>
      <c r="BN270" s="23">
        <f t="shared" si="672"/>
        <v>-833.33333333333337</v>
      </c>
      <c r="BO270" s="23">
        <f t="shared" si="732"/>
        <v>-1860.520833333333</v>
      </c>
      <c r="BQ270" s="89">
        <f t="shared" si="733"/>
        <v>7.3200000000000001E-2</v>
      </c>
      <c r="BR270" s="23">
        <f>BR$5+SUM(BS$5:BS269)+SUM(R$5:R269)-SUM(S$5:S269)+SUM(BV$5:BV269)</f>
        <v>237957.86274166175</v>
      </c>
      <c r="BS270" s="22">
        <f t="shared" si="734"/>
        <v>-793.61656962716711</v>
      </c>
      <c r="BT270" s="22">
        <f t="shared" si="735"/>
        <v>-1451.5429627241367</v>
      </c>
      <c r="BU270" s="22">
        <f>IF(U270&lt;0,PMT(BQ270/12,Dane_kredytowe!F$13-SUM(AB$5:AB270)+1,BR270),0)</f>
        <v>-2245.1595323513038</v>
      </c>
      <c r="BV270" s="22">
        <f t="shared" si="707"/>
        <v>153.92539192037066</v>
      </c>
      <c r="BX270" s="23">
        <f>BX$5+SUM(BZ$5:BZ269)+SUM(R$5:R269)-SUM(S$5:S269)+SUM(CB$5,CB269)</f>
        <v>142039.66873401287</v>
      </c>
      <c r="BY270" s="22">
        <f t="shared" si="736"/>
        <v>-866.44197927747848</v>
      </c>
      <c r="BZ270" s="22">
        <f t="shared" si="678"/>
        <v>-830.64133762580627</v>
      </c>
      <c r="CA270" s="22">
        <f t="shared" si="737"/>
        <v>-1697.0833169032849</v>
      </c>
      <c r="CB270" s="22">
        <f t="shared" si="738"/>
        <v>-394.1508235276483</v>
      </c>
      <c r="CD270" s="22">
        <f>CD$5+SUM(CE$5:CE269)+SUM(R$5:R269)-SUM(S$5:S269)-SUM(CF$5:CF269)</f>
        <v>188436.58130987379</v>
      </c>
      <c r="CE270" s="22">
        <f t="shared" si="739"/>
        <v>866.44197927747848</v>
      </c>
      <c r="CF270" s="22">
        <f t="shared" si="682"/>
        <v>2091.2341404309332</v>
      </c>
      <c r="CG270" s="22">
        <f t="shared" si="740"/>
        <v>1224.7921611534548</v>
      </c>
      <c r="CI270" s="89">
        <f t="shared" si="684"/>
        <v>3.44E-2</v>
      </c>
      <c r="CJ270" s="22">
        <f t="shared" si="685"/>
        <v>-71.94</v>
      </c>
      <c r="CK270" s="15">
        <f t="shared" si="713"/>
        <v>0</v>
      </c>
      <c r="CM270" s="22">
        <f t="shared" si="714"/>
        <v>-287370.36966232467</v>
      </c>
      <c r="CN270" s="15">
        <f t="shared" si="741"/>
        <v>-1353.0354904934454</v>
      </c>
    </row>
    <row r="271" spans="1:92">
      <c r="B271" s="129">
        <f t="shared" si="742"/>
        <v>45352</v>
      </c>
      <c r="C271" s="128">
        <f t="shared" si="717"/>
        <v>4.4621000000000004</v>
      </c>
      <c r="D271" s="82">
        <f t="shared" si="716"/>
        <v>4.5959630000000002</v>
      </c>
      <c r="E271" s="73">
        <f t="shared" si="718"/>
        <v>-443.63160603622163</v>
      </c>
      <c r="F271" s="19">
        <f t="shared" si="719"/>
        <v>-2038.9144469730513</v>
      </c>
      <c r="G271" s="19">
        <f t="shared" si="720"/>
        <v>-1398.9618673492914</v>
      </c>
      <c r="H271" s="19">
        <f t="shared" si="721"/>
        <v>639.9525796237599</v>
      </c>
      <c r="I271" s="131"/>
      <c r="K271" s="15">
        <f>IF(B271&lt;=Dane_kredytowe!F$9,0,K270+1)</f>
        <v>191</v>
      </c>
      <c r="L271" s="83">
        <f t="shared" si="722"/>
        <v>1.7131E-2</v>
      </c>
      <c r="M271" s="84">
        <f>L271+Dane_kredytowe!F$12</f>
        <v>4.7130999999999999E-2</v>
      </c>
      <c r="N271" s="79">
        <f>MAX(Dane_kredytowe!F$17+SUM(AA$5:AA270)-SUM(X$5:X271)+SUM(W$5:W271),0)</f>
        <v>54944.361421306057</v>
      </c>
      <c r="O271" s="85">
        <f>MAX(Dane_kredytowe!F$8+SUM(V$5:V270)-SUM(S$5:S271)+SUM(R$5:R270),0)</f>
        <v>173263.27837874746</v>
      </c>
      <c r="P271" s="67">
        <f t="shared" si="316"/>
        <v>360</v>
      </c>
      <c r="Q271" s="127" t="str">
        <f>IF(AND(K271&gt;0,K271&lt;=Dane_kredytowe!F$16),"tak","nie")</f>
        <v>nie</v>
      </c>
      <c r="R271" s="69"/>
      <c r="S271" s="86">
        <f>IF(Dane_kredytowe!F$19=B271,O270+V270,_xlfn.XLOOKUP(B271,Dane_kredytowe!M$9:M$18,Dane_kredytowe!N$9:N$18,0))</f>
        <v>0</v>
      </c>
      <c r="T271" s="71">
        <f t="shared" si="648"/>
        <v>-680.50596443906227</v>
      </c>
      <c r="U271" s="72">
        <f>IF(Q271="tak",T271,IF(P271-SUM(AB$5:AB271)+1&gt;0,IF(Dane_kredytowe!F$9&lt;B271,IF(SUM(AB$5:AB271)-Dane_kredytowe!F$16+1&gt;0,PMT(M271/12,P271+1-SUM(AB$5:AB271),O271),T271),0),0))</f>
        <v>-1398.9618673492914</v>
      </c>
      <c r="V271" s="72">
        <f t="shared" si="692"/>
        <v>-718.45590291022916</v>
      </c>
      <c r="W271" s="130"/>
      <c r="X271" s="19">
        <f t="shared" si="266"/>
        <v>0</v>
      </c>
      <c r="Y271" s="73">
        <f t="shared" si="649"/>
        <v>-215.79855817896464</v>
      </c>
      <c r="Z271" s="19">
        <f>IF(P271-SUM(AB$5:AB271)+1&gt;0,IF(Dane_kredytowe!F$9&lt;B271,IF(SUM(AB$5:AB271)-Dane_kredytowe!F$16+1&gt;0,PMT(M271/12,P271+1-SUM(AB$5:AB271),N271),Y271),0),0)</f>
        <v>-443.63160603622163</v>
      </c>
      <c r="AA271" s="19">
        <f t="shared" si="723"/>
        <v>-227.83304785725699</v>
      </c>
      <c r="AB271" s="20">
        <f>IF(AND(Dane_kredytowe!F$9&lt;B271,SUM(AB$5:AB270)&lt;P270),1," ")</f>
        <v>1</v>
      </c>
      <c r="AD271" s="75">
        <f>IF(OR(B271&lt;Dane_kredytowe!F$15,Dane_kredytowe!F$15=""),-F271+S271,0)</f>
        <v>0</v>
      </c>
      <c r="AE271" s="75">
        <f t="shared" si="651"/>
        <v>443.63160603622163</v>
      </c>
      <c r="AG271" s="22">
        <f>Dane_kredytowe!F$17-SUM(AI$5:AI270)+SUM(W$42:W271)-SUM(X$42:X271)</f>
        <v>44925.049999999967</v>
      </c>
      <c r="AH271" s="22">
        <f t="shared" si="652"/>
        <v>176.45</v>
      </c>
      <c r="AI271" s="22">
        <f t="shared" si="653"/>
        <v>264.27</v>
      </c>
      <c r="AJ271" s="22">
        <f t="shared" si="724"/>
        <v>440.71999999999997</v>
      </c>
      <c r="AK271" s="22">
        <f t="shared" si="655"/>
        <v>2025.53</v>
      </c>
      <c r="AL271" s="22">
        <f>Dane_kredytowe!F$8-SUM(AN$5:AN270)+SUM(R$42:R270)-SUM(S$42:S271)</f>
        <v>141666.95000000013</v>
      </c>
      <c r="AM271" s="22">
        <f t="shared" si="656"/>
        <v>556.41</v>
      </c>
      <c r="AN271" s="22">
        <f t="shared" si="657"/>
        <v>833.34</v>
      </c>
      <c r="AO271" s="22">
        <f t="shared" si="725"/>
        <v>1389.75</v>
      </c>
      <c r="AP271" s="22">
        <f t="shared" si="726"/>
        <v>635.78</v>
      </c>
      <c r="AR271" s="87">
        <f t="shared" si="660"/>
        <v>45352</v>
      </c>
      <c r="AS271" s="23">
        <f>AS$5+SUM(AV$5:AV270)-SUM(X$5:X271)+SUM(W$5:W271)</f>
        <v>80311.151561484876</v>
      </c>
      <c r="AT271" s="22">
        <f t="shared" si="661"/>
        <v>-315.42874035369533</v>
      </c>
      <c r="AU271" s="22">
        <f>IF(AB271=1,IF(Q271="tak",AT271,PMT(M271/12,P271+1-SUM(AB$5:AB271),AS271)),0)</f>
        <v>-648.44807052437716</v>
      </c>
      <c r="AV271" s="22">
        <f t="shared" si="727"/>
        <v>-333.01933017068183</v>
      </c>
      <c r="AW271" s="22">
        <f t="shared" si="663"/>
        <v>-2893.4401354868237</v>
      </c>
      <c r="AY271" s="23">
        <f>AY$5+SUM(BA$5:BA270)+SUM(W$5:W270)-SUM(X$5:X270)</f>
        <v>65665.051437842078</v>
      </c>
      <c r="AZ271" s="23">
        <f t="shared" si="664"/>
        <v>-315.42874035369533</v>
      </c>
      <c r="BA271" s="23">
        <f t="shared" si="665"/>
        <v>-386.27</v>
      </c>
      <c r="BB271" s="23">
        <f t="shared" si="728"/>
        <v>-701.69874035369526</v>
      </c>
      <c r="BC271" s="23">
        <f t="shared" si="667"/>
        <v>-3131.0499493322241</v>
      </c>
      <c r="BE271" s="88">
        <f t="shared" si="668"/>
        <v>5.6500000000000002E-2</v>
      </c>
      <c r="BF271" s="89">
        <f>BE271+Dane_kredytowe!F$12</f>
        <v>8.6499999999999994E-2</v>
      </c>
      <c r="BG271" s="23">
        <f>BG$5+SUM(BH$5:BH270)+SUM(R$5:R270)-SUM(S$5:S270)</f>
        <v>205518.68034030008</v>
      </c>
      <c r="BH271" s="22">
        <f t="shared" si="729"/>
        <v>-619.68424776088045</v>
      </c>
      <c r="BI271" s="22">
        <f t="shared" si="730"/>
        <v>-1481.4471541196629</v>
      </c>
      <c r="BJ271" s="22">
        <f>IF(U271&lt;0,PMT(BF271/12,Dane_kredytowe!F$13-SUM(AB$5:AB271)+1,BG271),0)</f>
        <v>-2101.1314018805433</v>
      </c>
      <c r="BL271" s="23">
        <f>BL$5+SUM(BN$5:BN270)+SUM(R$5:R270)-SUM(S$5:S270)</f>
        <v>141666.66666666666</v>
      </c>
      <c r="BM271" s="23">
        <f t="shared" si="731"/>
        <v>-1021.1805555555553</v>
      </c>
      <c r="BN271" s="23">
        <f t="shared" si="672"/>
        <v>-833.33333333333326</v>
      </c>
      <c r="BO271" s="23">
        <f t="shared" si="732"/>
        <v>-1854.5138888888887</v>
      </c>
      <c r="BQ271" s="89">
        <f t="shared" si="733"/>
        <v>7.3200000000000001E-2</v>
      </c>
      <c r="BR271" s="23">
        <f>BR$5+SUM(BS$5:BS270)+SUM(R$5:R270)-SUM(S$5:S270)+SUM(BV$5:BV270)</f>
        <v>237318.17156395494</v>
      </c>
      <c r="BS271" s="22">
        <f t="shared" si="734"/>
        <v>-798.97584921805333</v>
      </c>
      <c r="BT271" s="22">
        <f t="shared" si="735"/>
        <v>-1447.6408465401253</v>
      </c>
      <c r="BU271" s="22">
        <f>IF(U271&lt;0,PMT(BQ271/12,Dane_kredytowe!F$13-SUM(AB$5:AB271)+1,BR271),0)</f>
        <v>-2246.6166957581786</v>
      </c>
      <c r="BV271" s="22">
        <f t="shared" si="707"/>
        <v>207.70224878512727</v>
      </c>
      <c r="BX271" s="23">
        <f>BX$5+SUM(BZ$5:BZ270)+SUM(R$5:R270)-SUM(S$5:S270)+SUM(CB$5,CB270)</f>
        <v>141242.57686881325</v>
      </c>
      <c r="BY271" s="22">
        <f t="shared" si="736"/>
        <v>-861.57971889976079</v>
      </c>
      <c r="BZ271" s="22">
        <f t="shared" si="678"/>
        <v>-830.83868746360736</v>
      </c>
      <c r="CA271" s="22">
        <f t="shared" si="737"/>
        <v>-1692.4184063633681</v>
      </c>
      <c r="CB271" s="22">
        <f t="shared" si="738"/>
        <v>-346.49604060968318</v>
      </c>
      <c r="CD271" s="22">
        <f>CD$5+SUM(CE$5:CE270)+SUM(R$5:R270)-SUM(S$5:S270)-SUM(CF$5:CF270)</f>
        <v>187211.78914872033</v>
      </c>
      <c r="CE271" s="22">
        <f t="shared" si="739"/>
        <v>861.57971889976079</v>
      </c>
      <c r="CF271" s="22">
        <f t="shared" si="682"/>
        <v>2038.9144469730513</v>
      </c>
      <c r="CG271" s="22">
        <f t="shared" si="740"/>
        <v>1177.3347280732905</v>
      </c>
      <c r="CI271" s="89">
        <f t="shared" si="684"/>
        <v>3.44E-2</v>
      </c>
      <c r="CJ271" s="22">
        <f t="shared" si="685"/>
        <v>-70.14</v>
      </c>
      <c r="CK271" s="15">
        <f t="shared" si="713"/>
        <v>0</v>
      </c>
      <c r="CM271" s="22">
        <f t="shared" si="714"/>
        <v>-289409.28410929773</v>
      </c>
      <c r="CN271" s="15">
        <f t="shared" si="741"/>
        <v>-1362.6353793479436</v>
      </c>
    </row>
    <row r="272" spans="1:92">
      <c r="B272" s="129">
        <f t="shared" si="742"/>
        <v>45383</v>
      </c>
      <c r="C272" s="128">
        <f t="shared" ref="C272:C275" si="743">VLOOKUP(B272,Kursy,C$2)</f>
        <v>4.4105999999999996</v>
      </c>
      <c r="D272" s="82">
        <f t="shared" ref="D272:D274" si="744">C272*(1+$J$1)</f>
        <v>4.5429179999999993</v>
      </c>
      <c r="E272" s="73">
        <f t="shared" ref="E272:E274" si="745">Z272</f>
        <v>-443.63160603622157</v>
      </c>
      <c r="F272" s="19">
        <f t="shared" ref="F272:F274" si="746">E272*D272</f>
        <v>-2015.3820084308593</v>
      </c>
      <c r="G272" s="19">
        <f t="shared" ref="G272:G274" si="747">U272</f>
        <v>-1398.9618673492912</v>
      </c>
      <c r="H272" s="19">
        <f t="shared" ref="H272:H274" si="748">G272-F272</f>
        <v>616.42014108156809</v>
      </c>
      <c r="I272" s="131"/>
      <c r="K272" s="15">
        <f>IF(B272&lt;=Dane_kredytowe!F$9,0,K271+1)</f>
        <v>192</v>
      </c>
      <c r="L272" s="83">
        <f t="shared" ref="L272:L274" si="749">VLOOKUP(B272,Oproc,C$2)</f>
        <v>1.7131E-2</v>
      </c>
      <c r="M272" s="84">
        <f>L272+Dane_kredytowe!F$12</f>
        <v>4.7130999999999999E-2</v>
      </c>
      <c r="N272" s="79">
        <f>MAX(Dane_kredytowe!F$17+SUM(AA$5:AA271)-SUM(X$5:X272)+SUM(W$5:W272),0)</f>
        <v>54716.528373448804</v>
      </c>
      <c r="O272" s="85">
        <f>MAX(Dane_kredytowe!F$8+SUM(V$5:V271)-SUM(S$5:S272)+SUM(R$5:R271),0)</f>
        <v>172544.82247583725</v>
      </c>
      <c r="P272" s="67">
        <f t="shared" si="316"/>
        <v>360</v>
      </c>
      <c r="Q272" s="127" t="str">
        <f>IF(AND(K272&gt;0,K272&lt;=Dane_kredytowe!F$16),"tak","nie")</f>
        <v>nie</v>
      </c>
      <c r="R272" s="69"/>
      <c r="S272" s="86">
        <f>IF(Dane_kredytowe!F$19=B272,O271+V271,_xlfn.XLOOKUP(B272,Dane_kredytowe!M$9:M$18,Dane_kredytowe!N$9:N$18,0))</f>
        <v>0</v>
      </c>
      <c r="T272" s="71">
        <f t="shared" ref="T272:T274" si="750">IF(AB272=1,-O272*M272/12,0)</f>
        <v>-677.68416900905709</v>
      </c>
      <c r="U272" s="72">
        <f>IF(Q272="tak",T272,IF(P272-SUM(AB$5:AB272)+1&gt;0,IF(Dane_kredytowe!F$9&lt;B272,IF(SUM(AB$5:AB272)-Dane_kredytowe!F$16+1&gt;0,PMT(M272/12,P272+1-SUM(AB$5:AB272),O272),T272),0),0))</f>
        <v>-1398.9618673492912</v>
      </c>
      <c r="V272" s="72">
        <f t="shared" ref="V272:V274" si="751">U272-T272</f>
        <v>-721.27769834023411</v>
      </c>
      <c r="W272" s="130"/>
      <c r="X272" s="19">
        <f t="shared" ref="X272:X274" si="752">IF(S272&gt;0,S272/D272,0)</f>
        <v>0</v>
      </c>
      <c r="Y272" s="73">
        <f t="shared" ref="Y272:Y274" si="753">IF(AB272=1,-N272*M272/12,0)</f>
        <v>-214.90372489741796</v>
      </c>
      <c r="Z272" s="19">
        <f>IF(P272-SUM(AB$5:AB272)+1&gt;0,IF(Dane_kredytowe!F$9&lt;B272,IF(SUM(AB$5:AB272)-Dane_kredytowe!F$16+1&gt;0,PMT(M272/12,P272+1-SUM(AB$5:AB272),N272),Y272),0),0)</f>
        <v>-443.63160603622157</v>
      </c>
      <c r="AA272" s="19">
        <f t="shared" ref="AA272:AA274" si="754">Z272-Y272</f>
        <v>-228.72788113880361</v>
      </c>
      <c r="AB272" s="20">
        <f>IF(AND(Dane_kredytowe!F$9&lt;B272,SUM(AB$5:AB271)&lt;P271),1," ")</f>
        <v>1</v>
      </c>
      <c r="AD272" s="75">
        <f>IF(OR(B272&lt;Dane_kredytowe!F$15,Dane_kredytowe!F$15=""),-F272+S272,0)</f>
        <v>0</v>
      </c>
      <c r="AE272" s="75">
        <f t="shared" ref="AE272:AE274" si="755">IF(AD272=0,-E272+X272,0)</f>
        <v>443.63160603622157</v>
      </c>
      <c r="AG272" s="22">
        <f>Dane_kredytowe!F$17-SUM(AI$5:AI271)+SUM(W$42:W272)-SUM(X$42:X272)</f>
        <v>44660.77999999997</v>
      </c>
      <c r="AH272" s="22">
        <f t="shared" ref="AH272:AH274" si="756">IF(AB272=1,ROUND(AG272*M272/12,2),0)</f>
        <v>175.41</v>
      </c>
      <c r="AI272" s="22">
        <f t="shared" ref="AI272:AI274" si="757">IF(Q272="tak",0,IF(AB272=1,ROUND(AG272/(P272-K272+1),2),0))</f>
        <v>264.26</v>
      </c>
      <c r="AJ272" s="22">
        <f t="shared" ref="AJ272:AJ274" si="758">AI272+AH272</f>
        <v>439.66999999999996</v>
      </c>
      <c r="AK272" s="22">
        <f t="shared" ref="AK272:AK274" si="759">ROUND(AJ272*D272,2)</f>
        <v>1997.38</v>
      </c>
      <c r="AL272" s="22">
        <f>Dane_kredytowe!F$8-SUM(AN$5:AN271)+SUM(R$42:R271)-SUM(S$42:S272)</f>
        <v>140833.61000000013</v>
      </c>
      <c r="AM272" s="22">
        <f t="shared" ref="AM272:AM274" si="760">IF(AB272=1,ROUND(AL272*M272/12,2),0)</f>
        <v>553.14</v>
      </c>
      <c r="AN272" s="22">
        <f t="shared" ref="AN272:AN274" si="761">IF(Q272="tak",0,IF(AB272=1,ROUND(AL272/(P272-K272+1),2),0))</f>
        <v>833.33</v>
      </c>
      <c r="AO272" s="22">
        <f t="shared" ref="AO272:AO274" si="762">AN272+AM272</f>
        <v>1386.47</v>
      </c>
      <c r="AP272" s="22">
        <f t="shared" ref="AP272:AP274" si="763">AK272-AO272</f>
        <v>610.91000000000008</v>
      </c>
      <c r="AR272" s="87">
        <f t="shared" ref="AR272:AR274" si="764">B272</f>
        <v>45383</v>
      </c>
      <c r="AS272" s="23">
        <f>AS$5+SUM(AV$5:AV271)-SUM(X$5:X272)+SUM(W$5:W272)</f>
        <v>79978.132231314201</v>
      </c>
      <c r="AT272" s="22">
        <f t="shared" ref="AT272:AT274" si="765">IF(AB272=1,-AS272*M272/12,0)</f>
        <v>-314.12077918283916</v>
      </c>
      <c r="AU272" s="22">
        <f>IF(AB272=1,IF(Q272="tak",AT272,PMT(M272/12,P272+1-SUM(AB$5:AB272),AS272)),0)</f>
        <v>-648.44807052437704</v>
      </c>
      <c r="AV272" s="22">
        <f t="shared" ref="AV272:AV274" si="766">AU272-AT272</f>
        <v>-334.32729134153789</v>
      </c>
      <c r="AW272" s="22">
        <f t="shared" ref="AW272:AW274" si="767">AU272*C272</f>
        <v>-2860.0450598548173</v>
      </c>
      <c r="AY272" s="23">
        <f>AY$5+SUM(BA$5:BA271)+SUM(W$5:W271)-SUM(X$5:X271)</f>
        <v>65278.781437842074</v>
      </c>
      <c r="AZ272" s="23">
        <f t="shared" ref="AZ272:AZ274" si="768">IF(AB272=1,-AS272*M272/12,0)</f>
        <v>-314.12077918283916</v>
      </c>
      <c r="BA272" s="23">
        <f t="shared" ref="BA272:BA274" si="769">IF(AB272=1,IF(Q272="tak",0,ROUND(-AY272/(P272-K272+1),2)),0)</f>
        <v>-386.26</v>
      </c>
      <c r="BB272" s="23">
        <f t="shared" ref="BB272:BB274" si="770">BA272+AZ272</f>
        <v>-700.38077918283921</v>
      </c>
      <c r="BC272" s="23">
        <f t="shared" ref="BC272:BC274" si="771">BB272*C272</f>
        <v>-3089.0994646638305</v>
      </c>
      <c r="BE272" s="88">
        <f t="shared" ref="BE272:BE274" si="772">VLOOKUP(B272,Oproc,5)</f>
        <v>5.6500000000000002E-2</v>
      </c>
      <c r="BF272" s="89">
        <f>BE272+Dane_kredytowe!F$12</f>
        <v>8.6499999999999994E-2</v>
      </c>
      <c r="BG272" s="23">
        <f>BG$5+SUM(BH$5:BH271)+SUM(R$5:R271)-SUM(S$5:S271)</f>
        <v>204898.99609253919</v>
      </c>
      <c r="BH272" s="22">
        <f t="shared" ref="BH272:BH274" si="773">IF(BJ272&lt;0,BJ272-BI272,0)</f>
        <v>-624.15113838015691</v>
      </c>
      <c r="BI272" s="22">
        <f t="shared" ref="BI272:BI274" si="774">IF(BJ272&lt;0,-BG272*BF272/12,0)</f>
        <v>-1476.9802635003864</v>
      </c>
      <c r="BJ272" s="22">
        <f>IF(U272&lt;0,PMT(BF272/12,Dane_kredytowe!F$13-SUM(AB$5:AB272)+1,BG272),0)</f>
        <v>-2101.1314018805433</v>
      </c>
      <c r="BL272" s="23">
        <f>BL$5+SUM(BN$5:BN271)+SUM(R$5:R271)-SUM(S$5:S271)</f>
        <v>140833.33333333331</v>
      </c>
      <c r="BM272" s="23">
        <f t="shared" ref="BM272:BM274" si="775">IF(AB272=1,-BF272*BL272/12,0)</f>
        <v>-1015.1736111111109</v>
      </c>
      <c r="BN272" s="23">
        <f t="shared" ref="BN272:BN274" si="776">IF(AB272=1,-BL272/(P272-K272+1),0)</f>
        <v>-833.33333333333326</v>
      </c>
      <c r="BO272" s="23">
        <f t="shared" ref="BO272:BO274" si="777">BN272+BM272</f>
        <v>-1848.5069444444441</v>
      </c>
      <c r="BQ272" s="89">
        <f t="shared" ref="BQ272:BQ274" si="778">BE272+$BQ$4</f>
        <v>7.3200000000000001E-2</v>
      </c>
      <c r="BR272" s="23">
        <f>BR$5+SUM(BS$5:BS271)+SUM(R$5:R271)-SUM(S$5:S271)+SUM(BV$5:BV271)</f>
        <v>236726.89796352203</v>
      </c>
      <c r="BS272" s="22">
        <f t="shared" ref="BS272:BS274" si="779">IF(BU272&lt;0,BU272-BT272,0)</f>
        <v>-804.55551234032941</v>
      </c>
      <c r="BT272" s="22">
        <f t="shared" ref="BT272:BT274" si="780">IF(BU272&lt;0,-BR272*BQ272/12,0)</f>
        <v>-1444.0340775774846</v>
      </c>
      <c r="BU272" s="22">
        <f>IF(U272&lt;0,PMT(BQ272/12,Dane_kredytowe!F$13-SUM(AB$5:AB272)+1,BR272),0)</f>
        <v>-2248.589589917814</v>
      </c>
      <c r="BV272" s="22">
        <f t="shared" ref="BV272:BV274" si="781">F272-BU272</f>
        <v>233.20758148695472</v>
      </c>
      <c r="BX272" s="23">
        <f>BX$5+SUM(BZ$5:BZ271)+SUM(R$5:R271)-SUM(S$5:S271)+SUM(CB$5,CB271)</f>
        <v>140459.39296426761</v>
      </c>
      <c r="BY272" s="22">
        <f t="shared" ref="BY272:BY274" si="782">IF(AB272=1,-BQ272*BX272/12,0)</f>
        <v>-856.8022970820324</v>
      </c>
      <c r="BZ272" s="22">
        <f t="shared" ref="BZ272:BZ274" si="783">IF(AB272=1,-BX272/(P272-K272+1),0)</f>
        <v>-831.12066842761897</v>
      </c>
      <c r="CA272" s="22">
        <f t="shared" ref="CA272:CA274" si="784">BZ272+BY272</f>
        <v>-1687.9229655096515</v>
      </c>
      <c r="CB272" s="22">
        <f t="shared" ref="CB272:CB274" si="785">$F272-CA272</f>
        <v>-327.45904292120781</v>
      </c>
      <c r="CD272" s="22">
        <f>CD$5+SUM(CE$5:CE271)+SUM(R$5:R271)-SUM(S$5:S271)-SUM(CF$5:CF271)</f>
        <v>186034.45442064706</v>
      </c>
      <c r="CE272" s="22">
        <f t="shared" ref="CE272:CE274" si="786">IF(AB272=1,BQ272*BX272/12,0)</f>
        <v>856.8022970820324</v>
      </c>
      <c r="CF272" s="22">
        <f t="shared" ref="CF272:CF274" si="787">-F272</f>
        <v>2015.3820084308593</v>
      </c>
      <c r="CG272" s="22">
        <f t="shared" ref="CG272:CG274" si="788">CF272-CE272</f>
        <v>1158.579711348827</v>
      </c>
      <c r="CI272" s="89">
        <f t="shared" ref="CI272:CI274" si="789">VLOOKUP(B272,Inflacja,2)</f>
        <v>3.44E-2</v>
      </c>
      <c r="CJ272" s="22">
        <f t="shared" ref="CJ272:CJ274" si="790">ROUND(CI272*(F272-S272),2)</f>
        <v>-69.33</v>
      </c>
      <c r="CK272" s="15">
        <f t="shared" ref="CK272:CK274" si="791">ROUND(R272*CI272,2)</f>
        <v>0</v>
      </c>
      <c r="CM272" s="22">
        <f t="shared" ref="CM272:CM274" si="792">F272+S272+CM271</f>
        <v>-291424.66611772857</v>
      </c>
      <c r="CN272" s="15">
        <f t="shared" ref="CN272:CN274" si="793">CM272*BE272/12</f>
        <v>-1372.1244696376389</v>
      </c>
    </row>
    <row r="273" spans="2:92">
      <c r="B273" s="129">
        <f t="shared" si="742"/>
        <v>45413</v>
      </c>
      <c r="C273" s="128">
        <f t="shared" si="743"/>
        <v>4.3598999999999997</v>
      </c>
      <c r="D273" s="82">
        <f t="shared" si="744"/>
        <v>4.4906969999999999</v>
      </c>
      <c r="E273" s="73">
        <f t="shared" si="745"/>
        <v>-443.63160603622151</v>
      </c>
      <c r="F273" s="19">
        <f t="shared" si="746"/>
        <v>-1992.2151223320418</v>
      </c>
      <c r="G273" s="19">
        <f t="shared" si="747"/>
        <v>-1398.9618673492912</v>
      </c>
      <c r="H273" s="19">
        <f t="shared" si="748"/>
        <v>593.2532549827506</v>
      </c>
      <c r="I273" s="131"/>
      <c r="K273" s="15">
        <f>IF(B273&lt;=Dane_kredytowe!F$9,0,K272+1)</f>
        <v>193</v>
      </c>
      <c r="L273" s="83">
        <f t="shared" si="749"/>
        <v>1.7131E-2</v>
      </c>
      <c r="M273" s="84">
        <f>L273+Dane_kredytowe!F$12</f>
        <v>4.7130999999999999E-2</v>
      </c>
      <c r="N273" s="79">
        <f>MAX(Dane_kredytowe!F$17+SUM(AA$5:AA272)-SUM(X$5:X273)+SUM(W$5:W273),0)</f>
        <v>54487.800492310002</v>
      </c>
      <c r="O273" s="85">
        <f>MAX(Dane_kredytowe!F$8+SUM(V$5:V272)-SUM(S$5:S273)+SUM(R$5:R272),0)</f>
        <v>171823.54477749701</v>
      </c>
      <c r="P273" s="67">
        <f t="shared" si="316"/>
        <v>360</v>
      </c>
      <c r="Q273" s="127" t="str">
        <f>IF(AND(K273&gt;0,K273&lt;=Dane_kredytowe!F$16),"tak","nie")</f>
        <v>nie</v>
      </c>
      <c r="R273" s="69"/>
      <c r="S273" s="86">
        <f>IF(Dane_kredytowe!F$19=B273,O272+V272,_xlfn.XLOOKUP(B273,Dane_kredytowe!M$9:M$18,Dane_kredytowe!N$9:N$18,0))</f>
        <v>0</v>
      </c>
      <c r="T273" s="71">
        <f t="shared" si="750"/>
        <v>-674.8512907423509</v>
      </c>
      <c r="U273" s="72">
        <f>IF(Q273="tak",T273,IF(P273-SUM(AB$5:AB273)+1&gt;0,IF(Dane_kredytowe!F$9&lt;B273,IF(SUM(AB$5:AB273)-Dane_kredytowe!F$16+1&gt;0,PMT(M273/12,P273+1-SUM(AB$5:AB273),O273),T273),0),0))</f>
        <v>-1398.9618673492912</v>
      </c>
      <c r="V273" s="72">
        <f t="shared" si="751"/>
        <v>-724.1105766069403</v>
      </c>
      <c r="W273" s="130"/>
      <c r="X273" s="19">
        <f t="shared" si="752"/>
        <v>0</v>
      </c>
      <c r="Y273" s="73">
        <f t="shared" si="753"/>
        <v>-214.00537708358854</v>
      </c>
      <c r="Z273" s="19">
        <f>IF(P273-SUM(AB$5:AB273)+1&gt;0,IF(Dane_kredytowe!F$9&lt;B273,IF(SUM(AB$5:AB273)-Dane_kredytowe!F$16+1&gt;0,PMT(M273/12,P273+1-SUM(AB$5:AB273),N273),Y273),0),0)</f>
        <v>-443.63160603622151</v>
      </c>
      <c r="AA273" s="19">
        <f t="shared" si="754"/>
        <v>-229.62622895263297</v>
      </c>
      <c r="AB273" s="20">
        <f>IF(AND(Dane_kredytowe!F$9&lt;B273,SUM(AB$5:AB272)&lt;P272),1," ")</f>
        <v>1</v>
      </c>
      <c r="AD273" s="75">
        <f>IF(OR(B273&lt;Dane_kredytowe!F$15,Dane_kredytowe!F$15=""),-F273+S273,0)</f>
        <v>0</v>
      </c>
      <c r="AE273" s="75">
        <f t="shared" si="755"/>
        <v>443.63160603622151</v>
      </c>
      <c r="AG273" s="22">
        <f>Dane_kredytowe!F$17-SUM(AI$5:AI272)+SUM(W$42:W273)-SUM(X$42:X273)</f>
        <v>44396.519999999968</v>
      </c>
      <c r="AH273" s="22">
        <f t="shared" si="756"/>
        <v>174.37</v>
      </c>
      <c r="AI273" s="22">
        <f t="shared" si="757"/>
        <v>264.27</v>
      </c>
      <c r="AJ273" s="22">
        <f t="shared" si="758"/>
        <v>438.64</v>
      </c>
      <c r="AK273" s="22">
        <f t="shared" si="759"/>
        <v>1969.8</v>
      </c>
      <c r="AL273" s="22">
        <f>Dane_kredytowe!F$8-SUM(AN$5:AN272)+SUM(R$42:R272)-SUM(S$42:S273)</f>
        <v>140000.28000000014</v>
      </c>
      <c r="AM273" s="22">
        <f t="shared" si="760"/>
        <v>549.86</v>
      </c>
      <c r="AN273" s="22">
        <f t="shared" si="761"/>
        <v>833.34</v>
      </c>
      <c r="AO273" s="22">
        <f t="shared" si="762"/>
        <v>1383.2</v>
      </c>
      <c r="AP273" s="22">
        <f t="shared" si="763"/>
        <v>586.59999999999991</v>
      </c>
      <c r="AR273" s="87">
        <f t="shared" si="764"/>
        <v>45413</v>
      </c>
      <c r="AS273" s="23">
        <f>AS$5+SUM(AV$5:AV272)-SUM(X$5:X273)+SUM(W$5:W273)</f>
        <v>79643.804939972673</v>
      </c>
      <c r="AT273" s="22">
        <f t="shared" si="765"/>
        <v>-312.80768088548768</v>
      </c>
      <c r="AU273" s="22">
        <f>IF(AB273=1,IF(Q273="tak",AT273,PMT(M273/12,P273+1-SUM(AB$5:AB273),AS273)),0)</f>
        <v>-648.44807052437716</v>
      </c>
      <c r="AV273" s="22">
        <f t="shared" si="766"/>
        <v>-335.64038963888947</v>
      </c>
      <c r="AW273" s="22">
        <f t="shared" si="767"/>
        <v>-2827.1687426792319</v>
      </c>
      <c r="AY273" s="23">
        <f>AY$5+SUM(BA$5:BA272)+SUM(W$5:W272)-SUM(X$5:X272)</f>
        <v>64892.521437842079</v>
      </c>
      <c r="AZ273" s="23">
        <f t="shared" si="768"/>
        <v>-312.80768088548768</v>
      </c>
      <c r="BA273" s="23">
        <f t="shared" si="769"/>
        <v>-386.27</v>
      </c>
      <c r="BB273" s="23">
        <f t="shared" si="770"/>
        <v>-699.07768088548767</v>
      </c>
      <c r="BC273" s="23">
        <f t="shared" si="771"/>
        <v>-3047.9087808926374</v>
      </c>
      <c r="BE273" s="88">
        <f t="shared" si="772"/>
        <v>5.6500000000000002E-2</v>
      </c>
      <c r="BF273" s="89">
        <f>BE273+Dane_kredytowe!F$12</f>
        <v>8.6499999999999994E-2</v>
      </c>
      <c r="BG273" s="23">
        <f>BG$5+SUM(BH$5:BH272)+SUM(R$5:R272)-SUM(S$5:S272)</f>
        <v>204274.84495415905</v>
      </c>
      <c r="BH273" s="22">
        <f t="shared" si="773"/>
        <v>-628.65022783598033</v>
      </c>
      <c r="BI273" s="22">
        <f t="shared" si="774"/>
        <v>-1472.481174044563</v>
      </c>
      <c r="BJ273" s="22">
        <f>IF(U273&lt;0,PMT(BF273/12,Dane_kredytowe!F$13-SUM(AB$5:AB273)+1,BG273),0)</f>
        <v>-2101.1314018805433</v>
      </c>
      <c r="BL273" s="23">
        <f>BL$5+SUM(BN$5:BN272)+SUM(R$5:R272)-SUM(S$5:S272)</f>
        <v>139999.99999999997</v>
      </c>
      <c r="BM273" s="23">
        <f t="shared" si="775"/>
        <v>-1009.1666666666664</v>
      </c>
      <c r="BN273" s="23">
        <f t="shared" si="776"/>
        <v>-833.33333333333314</v>
      </c>
      <c r="BO273" s="23">
        <f t="shared" si="777"/>
        <v>-1842.4999999999995</v>
      </c>
      <c r="BQ273" s="89">
        <f t="shared" si="778"/>
        <v>7.3200000000000001E-2</v>
      </c>
      <c r="BR273" s="23">
        <f>BR$5+SUM(BS$5:BS272)+SUM(R$5:R272)-SUM(S$5:S272)+SUM(BV$5:BV272)</f>
        <v>236155.55003266866</v>
      </c>
      <c r="BS273" s="22">
        <f t="shared" si="779"/>
        <v>-810.26344976355017</v>
      </c>
      <c r="BT273" s="22">
        <f t="shared" si="780"/>
        <v>-1440.5488551992787</v>
      </c>
      <c r="BU273" s="22">
        <f>IF(U273&lt;0,PMT(BQ273/12,Dane_kredytowe!F$13-SUM(AB$5:AB273)+1,BR273),0)</f>
        <v>-2250.8123049628289</v>
      </c>
      <c r="BV273" s="22">
        <f t="shared" si="781"/>
        <v>258.59718263078707</v>
      </c>
      <c r="BX273" s="23">
        <f>BX$5+SUM(BZ$5:BZ272)+SUM(R$5:R272)-SUM(S$5:S272)+SUM(CB$5,CB272)</f>
        <v>139647.30929352849</v>
      </c>
      <c r="BY273" s="22">
        <f t="shared" si="782"/>
        <v>-851.8485866905238</v>
      </c>
      <c r="BZ273" s="22">
        <f t="shared" si="783"/>
        <v>-831.23398389005058</v>
      </c>
      <c r="CA273" s="22">
        <f t="shared" si="784"/>
        <v>-1683.0825705805744</v>
      </c>
      <c r="CB273" s="22">
        <f t="shared" si="785"/>
        <v>-309.13255175146742</v>
      </c>
      <c r="CD273" s="22">
        <f>CD$5+SUM(CE$5:CE272)+SUM(R$5:R272)-SUM(S$5:S272)-SUM(CF$5:CF272)</f>
        <v>184875.87470929825</v>
      </c>
      <c r="CE273" s="22">
        <f t="shared" si="786"/>
        <v>851.8485866905238</v>
      </c>
      <c r="CF273" s="22">
        <f t="shared" si="787"/>
        <v>1992.2151223320418</v>
      </c>
      <c r="CG273" s="22">
        <f t="shared" si="788"/>
        <v>1140.3665356415181</v>
      </c>
      <c r="CI273" s="89">
        <f t="shared" si="789"/>
        <v>3.44E-2</v>
      </c>
      <c r="CJ273" s="22">
        <f t="shared" si="790"/>
        <v>-68.53</v>
      </c>
      <c r="CK273" s="15">
        <f t="shared" si="791"/>
        <v>0</v>
      </c>
      <c r="CM273" s="22">
        <f t="shared" si="792"/>
        <v>-293416.88124006061</v>
      </c>
      <c r="CN273" s="15">
        <f t="shared" si="793"/>
        <v>-1381.5044825052855</v>
      </c>
    </row>
    <row r="274" spans="2:92">
      <c r="B274" s="129">
        <f t="shared" si="742"/>
        <v>45444</v>
      </c>
      <c r="C274" s="128">
        <f t="shared" si="743"/>
        <v>4.4859</v>
      </c>
      <c r="D274" s="82">
        <f t="shared" si="744"/>
        <v>4.6204770000000002</v>
      </c>
      <c r="E274" s="73">
        <f t="shared" si="745"/>
        <v>-443.63160603622157</v>
      </c>
      <c r="F274" s="19">
        <f t="shared" si="746"/>
        <v>-2049.789632163423</v>
      </c>
      <c r="G274" s="19">
        <f t="shared" si="747"/>
        <v>-1398.9618673492912</v>
      </c>
      <c r="H274" s="19">
        <f t="shared" si="748"/>
        <v>650.8277648141318</v>
      </c>
      <c r="I274" s="131"/>
      <c r="K274" s="15">
        <f>IF(B274&lt;=Dane_kredytowe!F$9,0,K273+1)</f>
        <v>194</v>
      </c>
      <c r="L274" s="83">
        <f t="shared" si="749"/>
        <v>1.7131E-2</v>
      </c>
      <c r="M274" s="84">
        <f>L274+Dane_kredytowe!F$12</f>
        <v>4.7130999999999999E-2</v>
      </c>
      <c r="N274" s="79">
        <f>MAX(Dane_kredytowe!F$17+SUM(AA$5:AA273)-SUM(X$5:X274)+SUM(W$5:W274),0)</f>
        <v>54258.174263357367</v>
      </c>
      <c r="O274" s="85">
        <f>MAX(Dane_kredytowe!F$8+SUM(V$5:V273)-SUM(S$5:S274)+SUM(R$5:R273),0)</f>
        <v>171099.43420089007</v>
      </c>
      <c r="P274" s="67">
        <f t="shared" si="316"/>
        <v>360</v>
      </c>
      <c r="Q274" s="127" t="str">
        <f>IF(AND(K274&gt;0,K274&lt;=Dane_kredytowe!F$16),"tak","nie")</f>
        <v>nie</v>
      </c>
      <c r="R274" s="69"/>
      <c r="S274" s="86">
        <f>IF(Dane_kredytowe!F$19=B274,O273+V273,_xlfn.XLOOKUP(B274,Dane_kredytowe!M$9:M$18,Dane_kredytowe!N$9:N$18,0))</f>
        <v>0</v>
      </c>
      <c r="T274" s="71">
        <f t="shared" si="750"/>
        <v>-672.00728611017917</v>
      </c>
      <c r="U274" s="72">
        <f>IF(Q274="tak",T274,IF(P274-SUM(AB$5:AB274)+1&gt;0,IF(Dane_kredytowe!F$9&lt;B274,IF(SUM(AB$5:AB274)-Dane_kredytowe!F$16+1&gt;0,PMT(M274/12,P274+1-SUM(AB$5:AB274),O274),T274),0),0))</f>
        <v>-1398.9618673492912</v>
      </c>
      <c r="V274" s="72">
        <f t="shared" si="751"/>
        <v>-726.95458123911203</v>
      </c>
      <c r="W274" s="130"/>
      <c r="X274" s="19">
        <f t="shared" si="752"/>
        <v>0</v>
      </c>
      <c r="Y274" s="73">
        <f t="shared" si="753"/>
        <v>-213.10350093385799</v>
      </c>
      <c r="Z274" s="19">
        <f>IF(P274-SUM(AB$5:AB274)+1&gt;0,IF(Dane_kredytowe!F$9&lt;B274,IF(SUM(AB$5:AB274)-Dane_kredytowe!F$16+1&gt;0,PMT(M274/12,P274+1-SUM(AB$5:AB274),N274),Y274),0),0)</f>
        <v>-443.63160603622157</v>
      </c>
      <c r="AA274" s="19">
        <f t="shared" si="754"/>
        <v>-230.52810510236358</v>
      </c>
      <c r="AB274" s="20">
        <f>IF(AND(Dane_kredytowe!F$9&lt;B274,SUM(AB$5:AB273)&lt;P273),1," ")</f>
        <v>1</v>
      </c>
      <c r="AD274" s="75">
        <f>IF(OR(B274&lt;Dane_kredytowe!F$15,Dane_kredytowe!F$15=""),-F274+S274,0)</f>
        <v>0</v>
      </c>
      <c r="AE274" s="75">
        <f t="shared" si="755"/>
        <v>443.63160603622157</v>
      </c>
      <c r="AG274" s="22">
        <f>Dane_kredytowe!F$17-SUM(AI$5:AI273)+SUM(W$42:W274)-SUM(X$42:X274)</f>
        <v>44132.249999999971</v>
      </c>
      <c r="AH274" s="22">
        <f t="shared" si="756"/>
        <v>173.33</v>
      </c>
      <c r="AI274" s="22">
        <f t="shared" si="757"/>
        <v>264.26</v>
      </c>
      <c r="AJ274" s="22">
        <f t="shared" si="758"/>
        <v>437.59000000000003</v>
      </c>
      <c r="AK274" s="22">
        <f t="shared" si="759"/>
        <v>2021.87</v>
      </c>
      <c r="AL274" s="22">
        <f>Dane_kredytowe!F$8-SUM(AN$5:AN273)+SUM(R$42:R273)-SUM(S$42:S274)</f>
        <v>139166.94000000015</v>
      </c>
      <c r="AM274" s="22">
        <f t="shared" si="760"/>
        <v>546.59</v>
      </c>
      <c r="AN274" s="22">
        <f t="shared" si="761"/>
        <v>833.33</v>
      </c>
      <c r="AO274" s="22">
        <f t="shared" si="762"/>
        <v>1379.92</v>
      </c>
      <c r="AP274" s="22">
        <f t="shared" si="763"/>
        <v>641.94999999999982</v>
      </c>
      <c r="AR274" s="87">
        <f t="shared" si="764"/>
        <v>45444</v>
      </c>
      <c r="AS274" s="23">
        <f>AS$5+SUM(AV$5:AV273)-SUM(X$5:X274)+SUM(W$5:W274)</f>
        <v>79308.164550333779</v>
      </c>
      <c r="AT274" s="22">
        <f t="shared" si="765"/>
        <v>-311.48942528514846</v>
      </c>
      <c r="AU274" s="22">
        <f>IF(AB274=1,IF(Q274="tak",AT274,PMT(M274/12,P274+1-SUM(AB$5:AB274),AS274)),0)</f>
        <v>-648.44807052437716</v>
      </c>
      <c r="AV274" s="22">
        <f t="shared" si="766"/>
        <v>-336.9586452392287</v>
      </c>
      <c r="AW274" s="22">
        <f t="shared" si="767"/>
        <v>-2908.8731995653034</v>
      </c>
      <c r="AY274" s="23">
        <f>AY$5+SUM(BA$5:BA273)+SUM(W$5:W273)-SUM(X$5:X273)</f>
        <v>64506.251437842075</v>
      </c>
      <c r="AZ274" s="23">
        <f t="shared" si="768"/>
        <v>-311.48942528514846</v>
      </c>
      <c r="BA274" s="23">
        <f t="shared" si="769"/>
        <v>-386.26</v>
      </c>
      <c r="BB274" s="23">
        <f t="shared" si="770"/>
        <v>-697.74942528514839</v>
      </c>
      <c r="BC274" s="23">
        <f t="shared" si="771"/>
        <v>-3130.0341468866472</v>
      </c>
      <c r="BE274" s="88">
        <f t="shared" si="772"/>
        <v>5.6500000000000002E-2</v>
      </c>
      <c r="BF274" s="89">
        <f>BE274+Dane_kredytowe!F$12</f>
        <v>8.6499999999999994E-2</v>
      </c>
      <c r="BG274" s="23">
        <f>BG$5+SUM(BH$5:BH273)+SUM(R$5:R273)-SUM(S$5:S273)</f>
        <v>203646.19472632307</v>
      </c>
      <c r="BH274" s="22">
        <f t="shared" si="773"/>
        <v>-633.18174822829792</v>
      </c>
      <c r="BI274" s="22">
        <f t="shared" si="774"/>
        <v>-1467.9496536522454</v>
      </c>
      <c r="BJ274" s="22">
        <f>IF(U274&lt;0,PMT(BF274/12,Dane_kredytowe!F$13-SUM(AB$5:AB274)+1,BG274),0)</f>
        <v>-2101.1314018805433</v>
      </c>
      <c r="BL274" s="23">
        <f>BL$5+SUM(BN$5:BN273)+SUM(R$5:R273)-SUM(S$5:S273)</f>
        <v>139166.66666666663</v>
      </c>
      <c r="BM274" s="23">
        <f t="shared" si="775"/>
        <v>-1003.1597222222218</v>
      </c>
      <c r="BN274" s="23">
        <f t="shared" si="776"/>
        <v>-833.33333333333314</v>
      </c>
      <c r="BO274" s="23">
        <f t="shared" si="777"/>
        <v>-1836.493055555555</v>
      </c>
      <c r="BQ274" s="89">
        <f t="shared" si="778"/>
        <v>7.3200000000000001E-2</v>
      </c>
      <c r="BR274" s="23">
        <f>BR$5+SUM(BS$5:BS273)+SUM(R$5:R273)-SUM(S$5:S273)+SUM(BV$5:BV273)</f>
        <v>235603.88376553589</v>
      </c>
      <c r="BS274" s="22">
        <f t="shared" si="779"/>
        <v>-816.10180446628033</v>
      </c>
      <c r="BT274" s="22">
        <f t="shared" si="780"/>
        <v>-1437.1836909697688</v>
      </c>
      <c r="BU274" s="22">
        <f>IF(U274&lt;0,PMT(BQ274/12,Dane_kredytowe!F$13-SUM(AB$5:AB274)+1,BR274),0)</f>
        <v>-2253.2854954360491</v>
      </c>
      <c r="BV274" s="22">
        <f t="shared" si="781"/>
        <v>203.49586327262614</v>
      </c>
      <c r="BX274" s="23">
        <f>BX$5+SUM(BZ$5:BZ273)+SUM(R$5:R273)-SUM(S$5:S273)+SUM(CB$5,CB273)</f>
        <v>138834.40180080818</v>
      </c>
      <c r="BY274" s="22">
        <f t="shared" si="782"/>
        <v>-846.88985098492992</v>
      </c>
      <c r="BZ274" s="22">
        <f t="shared" si="783"/>
        <v>-831.34372335813282</v>
      </c>
      <c r="CA274" s="22">
        <f t="shared" si="784"/>
        <v>-1678.2335743430626</v>
      </c>
      <c r="CB274" s="22">
        <f t="shared" si="785"/>
        <v>-371.55605782036037</v>
      </c>
      <c r="CD274" s="22">
        <f>CD$5+SUM(CE$5:CE273)+SUM(R$5:R273)-SUM(S$5:S273)-SUM(CF$5:CF273)</f>
        <v>183735.50817365671</v>
      </c>
      <c r="CE274" s="22">
        <f t="shared" si="786"/>
        <v>846.88985098492992</v>
      </c>
      <c r="CF274" s="22">
        <f t="shared" si="787"/>
        <v>2049.789632163423</v>
      </c>
      <c r="CG274" s="22">
        <f t="shared" si="788"/>
        <v>1202.899781178493</v>
      </c>
      <c r="CI274" s="89">
        <f t="shared" si="789"/>
        <v>3.44E-2</v>
      </c>
      <c r="CJ274" s="22">
        <f t="shared" si="790"/>
        <v>-70.510000000000005</v>
      </c>
      <c r="CK274" s="15">
        <f t="shared" si="791"/>
        <v>0</v>
      </c>
      <c r="CM274" s="22">
        <f t="shared" si="792"/>
        <v>-295466.67087222403</v>
      </c>
      <c r="CN274" s="15">
        <f t="shared" si="793"/>
        <v>-1391.1555753567216</v>
      </c>
    </row>
    <row r="275" spans="2:92">
      <c r="B275" s="129">
        <f t="shared" si="742"/>
        <v>45474</v>
      </c>
      <c r="C275" s="128">
        <f t="shared" si="743"/>
        <v>4.4230999999999998</v>
      </c>
      <c r="D275" s="82">
        <f t="shared" ref="D275" si="794">C275*(1+$J$1)</f>
        <v>4.5557929999999995</v>
      </c>
      <c r="E275" s="73">
        <f t="shared" ref="E275" si="795">Z275</f>
        <v>-443.63160603622157</v>
      </c>
      <c r="F275" s="19">
        <f t="shared" ref="F275" si="796">E275*D275</f>
        <v>-2021.0937653585759</v>
      </c>
      <c r="G275" s="19">
        <f t="shared" ref="G275" si="797">U275</f>
        <v>-1398.9618673492914</v>
      </c>
      <c r="H275" s="19">
        <f t="shared" ref="H275" si="798">G275-F275</f>
        <v>622.13189800928444</v>
      </c>
      <c r="I275" s="131"/>
      <c r="K275" s="15">
        <f>IF(B275&lt;=Dane_kredytowe!F$9,0,K274+1)</f>
        <v>195</v>
      </c>
      <c r="L275" s="83">
        <f t="shared" ref="L275" si="799">VLOOKUP(B275,Oproc,C$2)</f>
        <v>1.7131E-2</v>
      </c>
      <c r="M275" s="84">
        <f>L275+Dane_kredytowe!F$12</f>
        <v>4.7130999999999999E-2</v>
      </c>
      <c r="N275" s="79">
        <f>MAX(Dane_kredytowe!F$17+SUM(AA$5:AA274)-SUM(X$5:X275)+SUM(W$5:W275),0)</f>
        <v>54027.646158255004</v>
      </c>
      <c r="O275" s="85">
        <f>MAX(Dane_kredytowe!F$8+SUM(V$5:V274)-SUM(S$5:S275)+SUM(R$5:R274),0)</f>
        <v>170372.47961965099</v>
      </c>
      <c r="P275" s="67">
        <f t="shared" si="316"/>
        <v>360</v>
      </c>
      <c r="Q275" s="127" t="str">
        <f>IF(AND(K275&gt;0,K275&lt;=Dane_kredytowe!F$16),"tak","nie")</f>
        <v>nie</v>
      </c>
      <c r="R275" s="69"/>
      <c r="S275" s="86">
        <f>IF(Dane_kredytowe!F$19=B275,O274+V274,_xlfn.XLOOKUP(B275,Dane_kredytowe!M$9:M$18,Dane_kredytowe!N$9:N$18,0))</f>
        <v>0</v>
      </c>
      <c r="T275" s="71">
        <f t="shared" ref="T275" si="800">IF(AB275=1,-O275*M275/12,0)</f>
        <v>-669.15211141281418</v>
      </c>
      <c r="U275" s="72">
        <f>IF(Q275="tak",T275,IF(P275-SUM(AB$5:AB275)+1&gt;0,IF(Dane_kredytowe!F$9&lt;B275,IF(SUM(AB$5:AB275)-Dane_kredytowe!F$16+1&gt;0,PMT(M275/12,P275+1-SUM(AB$5:AB275),O275),T275),0),0))</f>
        <v>-1398.9618673492914</v>
      </c>
      <c r="V275" s="72">
        <f t="shared" ref="V275" si="801">U275-T275</f>
        <v>-729.80975593647725</v>
      </c>
      <c r="W275" s="130"/>
      <c r="X275" s="19">
        <f t="shared" ref="X275" si="802">IF(S275&gt;0,S275/D275,0)</f>
        <v>0</v>
      </c>
      <c r="Y275" s="73">
        <f t="shared" ref="Y275" si="803">IF(AB275=1,-N275*M275/12,0)</f>
        <v>-212.19808259039303</v>
      </c>
      <c r="Z275" s="19">
        <f>IF(P275-SUM(AB$5:AB275)+1&gt;0,IF(Dane_kredytowe!F$9&lt;B275,IF(SUM(AB$5:AB275)-Dane_kredytowe!F$16+1&gt;0,PMT(M275/12,P275+1-SUM(AB$5:AB275),N275),Y275),0),0)</f>
        <v>-443.63160603622157</v>
      </c>
      <c r="AA275" s="19">
        <f t="shared" ref="AA275" si="804">Z275-Y275</f>
        <v>-231.43352344582854</v>
      </c>
      <c r="AB275" s="20">
        <f>IF(AND(Dane_kredytowe!F$9&lt;B275,SUM(AB$5:AB274)&lt;P274),1," ")</f>
        <v>1</v>
      </c>
      <c r="AD275" s="75">
        <f>IF(OR(B275&lt;Dane_kredytowe!F$15,Dane_kredytowe!F$15=""),-F275+S275,0)</f>
        <v>0</v>
      </c>
      <c r="AE275" s="75">
        <f t="shared" ref="AE275" si="805">IF(AD275=0,-E275+X275,0)</f>
        <v>443.63160603622157</v>
      </c>
      <c r="AG275" s="22">
        <f>Dane_kredytowe!F$17-SUM(AI$5:AI274)+SUM(W$42:W275)-SUM(X$42:X275)</f>
        <v>43867.989999999969</v>
      </c>
      <c r="AH275" s="22">
        <f t="shared" ref="AH275" si="806">IF(AB275=1,ROUND(AG275*M275/12,2),0)</f>
        <v>172.3</v>
      </c>
      <c r="AI275" s="22">
        <f t="shared" ref="AI275" si="807">IF(Q275="tak",0,IF(AB275=1,ROUND(AG275/(P275-K275+1),2),0))</f>
        <v>264.27</v>
      </c>
      <c r="AJ275" s="22">
        <f t="shared" ref="AJ275" si="808">AI275+AH275</f>
        <v>436.57</v>
      </c>
      <c r="AK275" s="22">
        <f t="shared" ref="AK275" si="809">ROUND(AJ275*D275,2)</f>
        <v>1988.92</v>
      </c>
      <c r="AL275" s="22">
        <f>Dane_kredytowe!F$8-SUM(AN$5:AN274)+SUM(R$42:R274)-SUM(S$42:S275)</f>
        <v>138333.61000000016</v>
      </c>
      <c r="AM275" s="22">
        <f t="shared" ref="AM275" si="810">IF(AB275=1,ROUND(AL275*M275/12,2),0)</f>
        <v>543.32000000000005</v>
      </c>
      <c r="AN275" s="22">
        <f t="shared" ref="AN275" si="811">IF(Q275="tak",0,IF(AB275=1,ROUND(AL275/(P275-K275+1),2),0))</f>
        <v>833.34</v>
      </c>
      <c r="AO275" s="22">
        <f t="shared" ref="AO275" si="812">AN275+AM275</f>
        <v>1376.66</v>
      </c>
      <c r="AP275" s="22">
        <f t="shared" ref="AP275" si="813">AK275-AO275</f>
        <v>612.26</v>
      </c>
      <c r="AR275" s="87">
        <f t="shared" ref="AR275" si="814">B275</f>
        <v>45474</v>
      </c>
      <c r="AS275" s="23">
        <f>AS$5+SUM(AV$5:AV274)-SUM(X$5:X275)+SUM(W$5:W275)</f>
        <v>78971.205905094539</v>
      </c>
      <c r="AT275" s="22">
        <f t="shared" ref="AT275" si="815">IF(AB275=1,-AS275*M275/12,0)</f>
        <v>-310.16599212608423</v>
      </c>
      <c r="AU275" s="22">
        <f>IF(AB275=1,IF(Q275="tak",AT275,PMT(M275/12,P275+1-SUM(AB$5:AB275),AS275)),0)</f>
        <v>-648.44807052437704</v>
      </c>
      <c r="AV275" s="22">
        <f t="shared" ref="AV275" si="816">AU275-AT275</f>
        <v>-338.28207839829281</v>
      </c>
      <c r="AW275" s="22">
        <f t="shared" ref="AW275" si="817">AU275*C275</f>
        <v>-2868.1506607363722</v>
      </c>
      <c r="AY275" s="23">
        <f>AY$5+SUM(BA$5:BA274)+SUM(W$5:W274)-SUM(X$5:X274)</f>
        <v>64119.99143784208</v>
      </c>
      <c r="AZ275" s="23">
        <f t="shared" ref="AZ275" si="818">IF(AB275=1,-AS275*M275/12,0)</f>
        <v>-310.16599212608423</v>
      </c>
      <c r="BA275" s="23">
        <f t="shared" ref="BA275" si="819">IF(AB275=1,IF(Q275="tak",0,ROUND(-AY275/(P275-K275+1),2)),0)</f>
        <v>-386.27</v>
      </c>
      <c r="BB275" s="23">
        <f t="shared" ref="BB275" si="820">BA275+AZ275</f>
        <v>-696.43599212608422</v>
      </c>
      <c r="BC275" s="23">
        <f t="shared" ref="BC275" si="821">BB275*C275</f>
        <v>-3080.406036772883</v>
      </c>
      <c r="BE275" s="88">
        <f t="shared" ref="BE275" si="822">VLOOKUP(B275,Oproc,5)</f>
        <v>5.6500000000000002E-2</v>
      </c>
      <c r="BF275" s="89">
        <f>BE275+Dane_kredytowe!F$12</f>
        <v>8.6499999999999994E-2</v>
      </c>
      <c r="BG275" s="23">
        <f>BG$5+SUM(BH$5:BH274)+SUM(R$5:R274)-SUM(S$5:S274)</f>
        <v>203013.01297809475</v>
      </c>
      <c r="BH275" s="22">
        <f t="shared" ref="BH275" si="823">IF(BJ275&lt;0,BJ275-BI275,0)</f>
        <v>-637.74593333011035</v>
      </c>
      <c r="BI275" s="22">
        <f t="shared" ref="BI275" si="824">IF(BJ275&lt;0,-BG275*BF275/12,0)</f>
        <v>-1463.385468550433</v>
      </c>
      <c r="BJ275" s="22">
        <f>IF(U275&lt;0,PMT(BF275/12,Dane_kredytowe!F$13-SUM(AB$5:AB275)+1,BG275),0)</f>
        <v>-2101.1314018805433</v>
      </c>
      <c r="BL275" s="23">
        <f>BL$5+SUM(BN$5:BN274)+SUM(R$5:R274)-SUM(S$5:S274)</f>
        <v>138333.33333333328</v>
      </c>
      <c r="BM275" s="23">
        <f t="shared" ref="BM275" si="825">IF(AB275=1,-BF275*BL275/12,0)</f>
        <v>-997.15277777777737</v>
      </c>
      <c r="BN275" s="23">
        <f t="shared" ref="BN275" si="826">IF(AB275=1,-BL275/(P275-K275+1),0)</f>
        <v>-833.33333333333303</v>
      </c>
      <c r="BO275" s="23">
        <f t="shared" ref="BO275" si="827">BN275+BM275</f>
        <v>-1830.4861111111104</v>
      </c>
      <c r="BQ275" s="89">
        <f t="shared" ref="BQ275" si="828">BE275+$BQ$4</f>
        <v>7.3200000000000001E-2</v>
      </c>
      <c r="BR275" s="23">
        <f>BR$5+SUM(BS$5:BS274)+SUM(R$5:R274)-SUM(S$5:S274)+SUM(BV$5:BV274)</f>
        <v>234991.27782434225</v>
      </c>
      <c r="BS275" s="22">
        <f t="shared" ref="BS275" si="829">IF(BU275&lt;0,BU275-BT275,0)</f>
        <v>-821.79167404060104</v>
      </c>
      <c r="BT275" s="22">
        <f t="shared" ref="BT275" si="830">IF(BU275&lt;0,-BR275*BQ275/12,0)</f>
        <v>-1433.4467947284877</v>
      </c>
      <c r="BU275" s="22">
        <f>IF(U275&lt;0,PMT(BQ275/12,Dane_kredytowe!F$13-SUM(AB$5:AB275)+1,BR275),0)</f>
        <v>-2255.2384687690887</v>
      </c>
      <c r="BV275" s="22">
        <f t="shared" ref="BV275" si="831">F275-BU275</f>
        <v>234.14470341051288</v>
      </c>
      <c r="BX275" s="23">
        <f>BX$5+SUM(BZ$5:BZ274)+SUM(R$5:R274)-SUM(S$5:S274)+SUM(CB$5,CB274)</f>
        <v>137940.63457138118</v>
      </c>
      <c r="BY275" s="22">
        <f t="shared" ref="BY275" si="832">IF(AB275=1,-BQ275*BX275/12,0)</f>
        <v>-841.43787088542513</v>
      </c>
      <c r="BZ275" s="22">
        <f t="shared" ref="BZ275" si="833">IF(AB275=1,-BX275/(P275-K275+1),0)</f>
        <v>-830.96767814085047</v>
      </c>
      <c r="CA275" s="22">
        <f t="shared" ref="CA275" si="834">BZ275+BY275</f>
        <v>-1672.4055490262756</v>
      </c>
      <c r="CB275" s="22">
        <f t="shared" ref="CB275" si="835">$F275-CA275</f>
        <v>-348.68821633230027</v>
      </c>
      <c r="CD275" s="22">
        <f>CD$5+SUM(CE$5:CE274)+SUM(R$5:R274)-SUM(S$5:S274)-SUM(CF$5:CF274)</f>
        <v>182532.6083924782</v>
      </c>
      <c r="CE275" s="22">
        <f t="shared" ref="CE275" si="836">IF(AB275=1,BQ275*BX275/12,0)</f>
        <v>841.43787088542513</v>
      </c>
      <c r="CF275" s="22">
        <f t="shared" ref="CF275" si="837">-F275</f>
        <v>2021.0937653585759</v>
      </c>
      <c r="CG275" s="22">
        <f t="shared" ref="CG275" si="838">CF275-CE275</f>
        <v>1179.6558944731507</v>
      </c>
      <c r="CI275" s="89">
        <f t="shared" ref="CI275" si="839">VLOOKUP(B275,Inflacja,2)</f>
        <v>3.44E-2</v>
      </c>
      <c r="CJ275" s="22">
        <f t="shared" ref="CJ275" si="840">ROUND(CI275*(F275-S275),2)</f>
        <v>-69.53</v>
      </c>
      <c r="CK275" s="15">
        <f t="shared" ref="CK275" si="841">ROUND(R275*CI275,2)</f>
        <v>0</v>
      </c>
      <c r="CM275" s="22">
        <f t="shared" ref="CM275" si="842">F275+S275+CM274</f>
        <v>-297487.76463758259</v>
      </c>
      <c r="CN275" s="15">
        <f t="shared" ref="CN275" si="843">CM275*BE275/12</f>
        <v>-1400.6715585019513</v>
      </c>
    </row>
    <row r="276" spans="2:92">
      <c r="B276" s="129">
        <f t="shared" si="742"/>
        <v>45505</v>
      </c>
      <c r="C276" s="128">
        <f t="shared" ref="C276" si="844">VLOOKUP(B276,Kursy,C$2)</f>
        <v>4.5404999999999998</v>
      </c>
      <c r="D276" s="82">
        <f t="shared" ref="D276" si="845">C276*(1+$J$1)</f>
        <v>4.6767149999999997</v>
      </c>
      <c r="E276" s="73">
        <f t="shared" ref="E276" si="846">Z276</f>
        <v>-443.63160603622151</v>
      </c>
      <c r="F276" s="19">
        <f t="shared" ref="F276" si="847">E276*D276</f>
        <v>-2074.7385864236876</v>
      </c>
      <c r="G276" s="19">
        <f t="shared" ref="G276" si="848">U276</f>
        <v>-1398.961867349291</v>
      </c>
      <c r="H276" s="19">
        <f t="shared" ref="H276" si="849">G276-F276</f>
        <v>675.77671907439662</v>
      </c>
      <c r="I276" s="131"/>
      <c r="K276" s="15">
        <f>IF(B276&lt;=Dane_kredytowe!F$9,0,K275+1)</f>
        <v>196</v>
      </c>
      <c r="L276" s="83">
        <f t="shared" ref="L276" si="850">VLOOKUP(B276,Oproc,C$2)</f>
        <v>1.7131E-2</v>
      </c>
      <c r="M276" s="84">
        <f>L276+Dane_kredytowe!F$12</f>
        <v>4.7130999999999999E-2</v>
      </c>
      <c r="N276" s="79">
        <f>MAX(Dane_kredytowe!F$17+SUM(AA$5:AA275)-SUM(X$5:X276)+SUM(W$5:W276),0)</f>
        <v>53796.212634809177</v>
      </c>
      <c r="O276" s="85">
        <f>MAX(Dane_kredytowe!F$8+SUM(V$5:V275)-SUM(S$5:S276)+SUM(R$5:R275),0)</f>
        <v>169642.66986371449</v>
      </c>
      <c r="P276" s="67">
        <f t="shared" si="316"/>
        <v>360</v>
      </c>
      <c r="Q276" s="127" t="str">
        <f>IF(AND(K276&gt;0,K276&lt;=Dane_kredytowe!F$16),"tak","nie")</f>
        <v>nie</v>
      </c>
      <c r="R276" s="69"/>
      <c r="S276" s="86">
        <f>IF(Dane_kredytowe!F$19=B276,O275+V275,_xlfn.XLOOKUP(B276,Dane_kredytowe!M$9:M$18,Dane_kredytowe!N$9:N$18,0))</f>
        <v>0</v>
      </c>
      <c r="T276" s="71">
        <f t="shared" ref="T276" si="851">IF(AB276=1,-O276*M276/12,0)</f>
        <v>-666.28572277889396</v>
      </c>
      <c r="U276" s="72">
        <f>IF(Q276="tak",T276,IF(P276-SUM(AB$5:AB276)+1&gt;0,IF(Dane_kredytowe!F$9&lt;B276,IF(SUM(AB$5:AB276)-Dane_kredytowe!F$16+1&gt;0,PMT(M276/12,P276+1-SUM(AB$5:AB276),O276),T276),0),0))</f>
        <v>-1398.961867349291</v>
      </c>
      <c r="V276" s="72">
        <f t="shared" ref="V276" si="852">U276-T276</f>
        <v>-732.67614457039701</v>
      </c>
      <c r="W276" s="130"/>
      <c r="X276" s="19">
        <f t="shared" ref="X276" si="853">IF(S276&gt;0,S276/D276,0)</f>
        <v>0</v>
      </c>
      <c r="Y276" s="73">
        <f t="shared" ref="Y276" si="854">IF(AB276=1,-N276*M276/12,0)</f>
        <v>-211.2891081409326</v>
      </c>
      <c r="Z276" s="19">
        <f>IF(P276-SUM(AB$5:AB276)+1&gt;0,IF(Dane_kredytowe!F$9&lt;B276,IF(SUM(AB$5:AB276)-Dane_kredytowe!F$16+1&gt;0,PMT(M276/12,P276+1-SUM(AB$5:AB276),N276),Y276),0),0)</f>
        <v>-443.63160603622151</v>
      </c>
      <c r="AA276" s="19">
        <f t="shared" ref="AA276" si="855">Z276-Y276</f>
        <v>-232.34249789528891</v>
      </c>
      <c r="AB276" s="20">
        <f>IF(AND(Dane_kredytowe!F$9&lt;B276,SUM(AB$5:AB275)&lt;P275),1," ")</f>
        <v>1</v>
      </c>
      <c r="AD276" s="75">
        <f>IF(OR(B276&lt;Dane_kredytowe!F$15,Dane_kredytowe!F$15=""),-F276+S276,0)</f>
        <v>0</v>
      </c>
      <c r="AE276" s="75">
        <f t="shared" ref="AE276" si="856">IF(AD276=0,-E276+X276,0)</f>
        <v>443.63160603622151</v>
      </c>
      <c r="AG276" s="22">
        <f>Dane_kredytowe!F$17-SUM(AI$5:AI275)+SUM(W$42:W276)-SUM(X$42:X276)</f>
        <v>43603.719999999972</v>
      </c>
      <c r="AH276" s="22">
        <f t="shared" ref="AH276" si="857">IF(AB276=1,ROUND(AG276*M276/12,2),0)</f>
        <v>171.26</v>
      </c>
      <c r="AI276" s="22">
        <f t="shared" ref="AI276" si="858">IF(Q276="tak",0,IF(AB276=1,ROUND(AG276/(P276-K276+1),2),0))</f>
        <v>264.26</v>
      </c>
      <c r="AJ276" s="22">
        <f t="shared" ref="AJ276" si="859">AI276+AH276</f>
        <v>435.52</v>
      </c>
      <c r="AK276" s="22">
        <f t="shared" ref="AK276" si="860">ROUND(AJ276*D276,2)</f>
        <v>2036.8</v>
      </c>
      <c r="AL276" s="22">
        <f>Dane_kredytowe!F$8-SUM(AN$5:AN275)+SUM(R$42:R275)-SUM(S$42:S276)</f>
        <v>137500.27000000016</v>
      </c>
      <c r="AM276" s="22">
        <f t="shared" ref="AM276" si="861">IF(AB276=1,ROUND(AL276*M276/12,2),0)</f>
        <v>540.04</v>
      </c>
      <c r="AN276" s="22">
        <f t="shared" ref="AN276" si="862">IF(Q276="tak",0,IF(AB276=1,ROUND(AL276/(P276-K276+1),2),0))</f>
        <v>833.33</v>
      </c>
      <c r="AO276" s="22">
        <f t="shared" ref="AO276" si="863">AN276+AM276</f>
        <v>1373.37</v>
      </c>
      <c r="AP276" s="22">
        <f t="shared" ref="AP276" si="864">AK276-AO276</f>
        <v>663.43000000000006</v>
      </c>
      <c r="AR276" s="87">
        <f t="shared" ref="AR276" si="865">B276</f>
        <v>45505</v>
      </c>
      <c r="AS276" s="23">
        <f>AS$5+SUM(AV$5:AV275)-SUM(X$5:X276)+SUM(W$5:W276)</f>
        <v>78632.923826696264</v>
      </c>
      <c r="AT276" s="22">
        <f t="shared" ref="AT276" si="866">IF(AB276=1,-AS276*M276/12,0)</f>
        <v>-308.83736107300177</v>
      </c>
      <c r="AU276" s="22">
        <f>IF(AB276=1,IF(Q276="tak",AT276,PMT(M276/12,P276+1-SUM(AB$5:AB276),AS276)),0)</f>
        <v>-648.44807052437704</v>
      </c>
      <c r="AV276" s="22">
        <f t="shared" ref="AV276" si="867">AU276-AT276</f>
        <v>-339.61070945137527</v>
      </c>
      <c r="AW276" s="22">
        <f t="shared" ref="AW276" si="868">AU276*C276</f>
        <v>-2944.278464215934</v>
      </c>
      <c r="AY276" s="23">
        <f>AY$5+SUM(BA$5:BA275)+SUM(W$5:W275)-SUM(X$5:X275)</f>
        <v>63733.721437842076</v>
      </c>
      <c r="AZ276" s="23">
        <f t="shared" ref="AZ276" si="869">IF(AB276=1,-AS276*M276/12,0)</f>
        <v>-308.83736107300177</v>
      </c>
      <c r="BA276" s="23">
        <f t="shared" ref="BA276" si="870">IF(AB276=1,IF(Q276="tak",0,ROUND(-AY276/(P276-K276+1),2)),0)</f>
        <v>-386.26</v>
      </c>
      <c r="BB276" s="23">
        <f t="shared" ref="BB276" si="871">BA276+AZ276</f>
        <v>-695.09736107300182</v>
      </c>
      <c r="BC276" s="23">
        <f t="shared" ref="BC276" si="872">BB276*C276</f>
        <v>-3156.0895679519645</v>
      </c>
      <c r="BE276" s="88">
        <f t="shared" ref="BE276" si="873">VLOOKUP(B276,Oproc,5)</f>
        <v>5.6500000000000002E-2</v>
      </c>
      <c r="BF276" s="89">
        <f>BE276+Dane_kredytowe!F$12</f>
        <v>8.6499999999999994E-2</v>
      </c>
      <c r="BG276" s="23">
        <f>BG$5+SUM(BH$5:BH275)+SUM(R$5:R275)-SUM(S$5:S275)</f>
        <v>202375.26704476465</v>
      </c>
      <c r="BH276" s="22">
        <f t="shared" ref="BH276" si="874">IF(BJ276&lt;0,BJ276-BI276,0)</f>
        <v>-642.34301859953143</v>
      </c>
      <c r="BI276" s="22">
        <f t="shared" ref="BI276" si="875">IF(BJ276&lt;0,-BG276*BF276/12,0)</f>
        <v>-1458.7883832810119</v>
      </c>
      <c r="BJ276" s="22">
        <f>IF(U276&lt;0,PMT(BF276/12,Dane_kredytowe!F$13-SUM(AB$5:AB276)+1,BG276),0)</f>
        <v>-2101.1314018805433</v>
      </c>
      <c r="BL276" s="23">
        <f>BL$5+SUM(BN$5:BN275)+SUM(R$5:R275)-SUM(S$5:S275)</f>
        <v>137499.99999999994</v>
      </c>
      <c r="BM276" s="23">
        <f t="shared" ref="BM276" si="876">IF(AB276=1,-BF276*BL276/12,0)</f>
        <v>-991.14583333333292</v>
      </c>
      <c r="BN276" s="23">
        <f t="shared" ref="BN276" si="877">IF(AB276=1,-BL276/(P276-K276+1),0)</f>
        <v>-833.33333333333303</v>
      </c>
      <c r="BO276" s="23">
        <f t="shared" ref="BO276" si="878">BN276+BM276</f>
        <v>-1824.4791666666661</v>
      </c>
      <c r="BQ276" s="89">
        <f t="shared" ref="BQ276" si="879">BE276+$BQ$4</f>
        <v>7.3200000000000001E-2</v>
      </c>
      <c r="BR276" s="23">
        <f>BR$5+SUM(BS$5:BS275)+SUM(R$5:R275)-SUM(S$5:S275)+SUM(BV$5:BV275)</f>
        <v>234403.63085371215</v>
      </c>
      <c r="BS276" s="22">
        <f t="shared" ref="BS276" si="880">IF(BU276&lt;0,BU276-BT276,0)</f>
        <v>-827.63132035271065</v>
      </c>
      <c r="BT276" s="22">
        <f t="shared" ref="BT276" si="881">IF(BU276&lt;0,-BR276*BQ276/12,0)</f>
        <v>-1429.8621482076442</v>
      </c>
      <c r="BU276" s="22">
        <f>IF(U276&lt;0,PMT(BQ276/12,Dane_kredytowe!F$13-SUM(AB$5:AB276)+1,BR276),0)</f>
        <v>-2257.4934685603548</v>
      </c>
      <c r="BV276" s="22">
        <f t="shared" ref="BV276" si="882">F276-BU276</f>
        <v>182.75488213666722</v>
      </c>
      <c r="BX276" s="23">
        <f>BX$5+SUM(BZ$5:BZ275)+SUM(R$5:R275)-SUM(S$5:S275)+SUM(CB$5,CB275)</f>
        <v>137132.5347347284</v>
      </c>
      <c r="BY276" s="22">
        <f t="shared" ref="BY276" si="883">IF(AB276=1,-BQ276*BX276/12,0)</f>
        <v>-836.50846188184323</v>
      </c>
      <c r="BZ276" s="22">
        <f t="shared" ref="BZ276" si="884">IF(AB276=1,-BX276/(P276-K276+1),0)</f>
        <v>-831.10627111956603</v>
      </c>
      <c r="CA276" s="22">
        <f t="shared" ref="CA276" si="885">BZ276+BY276</f>
        <v>-1667.6147330014091</v>
      </c>
      <c r="CB276" s="22">
        <f t="shared" ref="CB276" si="886">$F276-CA276</f>
        <v>-407.12385342227844</v>
      </c>
      <c r="CD276" s="22">
        <f>CD$5+SUM(CE$5:CE275)+SUM(R$5:R275)-SUM(S$5:S275)-SUM(CF$5:CF275)</f>
        <v>181352.95249800512</v>
      </c>
      <c r="CE276" s="22">
        <f t="shared" ref="CE276" si="887">IF(AB276=1,BQ276*BX276/12,0)</f>
        <v>836.50846188184323</v>
      </c>
      <c r="CF276" s="22">
        <f t="shared" ref="CF276" si="888">-F276</f>
        <v>2074.7385864236876</v>
      </c>
      <c r="CG276" s="22">
        <f t="shared" ref="CG276" si="889">CF276-CE276</f>
        <v>1238.2301245418444</v>
      </c>
      <c r="CI276" s="89">
        <f t="shared" ref="CI276" si="890">VLOOKUP(B276,Inflacja,2)</f>
        <v>3.44E-2</v>
      </c>
      <c r="CJ276" s="22">
        <f t="shared" ref="CJ276" si="891">ROUND(CI276*(F276-S276),2)</f>
        <v>-71.37</v>
      </c>
      <c r="CK276" s="15">
        <f t="shared" ref="CK276" si="892">ROUND(R276*CI276,2)</f>
        <v>0</v>
      </c>
      <c r="CM276" s="22">
        <f t="shared" ref="CM276" si="893">F276+S276+CM275</f>
        <v>-299562.50322400627</v>
      </c>
      <c r="CN276" s="15">
        <f t="shared" ref="CN276" si="894">CM276*BE276/12</f>
        <v>-1410.440119346363</v>
      </c>
    </row>
    <row r="277" spans="2:92">
      <c r="S277" s="86">
        <f>IF(Dane_kredytowe!F$19=B277,O276+V276,_xlfn.XLOOKUP(B277,Dane_kredytowe!M$9:M$18,Dane_kredytowe!N$9:N$18,0))</f>
        <v>168909.99371914408</v>
      </c>
    </row>
    <row r="278" spans="2:92">
      <c r="S278" s="86">
        <f>IF(Dane_kredytowe!F$19=B278,O277+V277,_xlfn.XLOOKUP(B278,Dane_kredytowe!M$9:M$18,Dane_kredytowe!N$9:N$18,0))</f>
        <v>0</v>
      </c>
    </row>
    <row r="279" spans="2:92">
      <c r="S279" s="86">
        <f>IF(Dane_kredytowe!F$19=B279,O278+V278,_xlfn.XLOOKUP(B279,Dane_kredytowe!M$9:M$18,Dane_kredytowe!N$9:N$18,0))</f>
        <v>0</v>
      </c>
    </row>
    <row r="280" spans="2:92">
      <c r="S280" s="86">
        <f>IF(Dane_kredytowe!F$19=B280,O279+V279,_xlfn.XLOOKUP(B280,Dane_kredytowe!M$9:M$18,Dane_kredytowe!N$9:N$18,0))</f>
        <v>0</v>
      </c>
    </row>
    <row r="281" spans="2:92">
      <c r="S281" s="86">
        <f>IF(Dane_kredytowe!F$19=B281,O280+V280,_xlfn.XLOOKUP(B281,Dane_kredytowe!M$9:M$18,Dane_kredytowe!N$9:N$18,0))</f>
        <v>0</v>
      </c>
    </row>
    <row r="282" spans="2:92">
      <c r="S282" s="86">
        <f>IF(Dane_kredytowe!F$19=B282,O281+V281,_xlfn.XLOOKUP(B282,Dane_kredytowe!M$9:M$18,Dane_kredytowe!N$9:N$18,0))</f>
        <v>0</v>
      </c>
    </row>
    <row r="283" spans="2:92">
      <c r="S283" s="86">
        <f>IF(Dane_kredytowe!F$19=B283,O282+V282,_xlfn.XLOOKUP(B283,Dane_kredytowe!M$9:M$18,Dane_kredytowe!N$9:N$18,0))</f>
        <v>0</v>
      </c>
    </row>
    <row r="284" spans="2:92">
      <c r="S284" s="86">
        <f>IF(Dane_kredytowe!F$19=B284,O283+V283,_xlfn.XLOOKUP(B284,Dane_kredytowe!M$9:M$18,Dane_kredytowe!N$9:N$18,0))</f>
        <v>0</v>
      </c>
    </row>
    <row r="285" spans="2:92">
      <c r="S285" s="86">
        <f>IF(Dane_kredytowe!F$19=B285,O284+V284,_xlfn.XLOOKUP(B285,Dane_kredytowe!M$9:M$18,Dane_kredytowe!N$9:N$18,0))</f>
        <v>0</v>
      </c>
    </row>
  </sheetData>
  <sheetProtection algorithmName="SHA-512" hashValue="FNeRnGDDh8B7ha/gCewBagdQuOYr2c1MPR9CQIdr/sxlslyAJP+MO0hdgiEKz7Mp/0rNFQSUvvonBCdkZG2e4w==" saltValue="AtFX3kBRM3X7CpSKLpwbPA==" spinCount="100000" sheet="1" formatCells="0" formatColumns="0" formatRows="0" insertColumns="0" insertRows="0" insertHyperlinks="0" deleteColumns="0" deleteRows="0" sort="0" autoFilter="0" pivotTables="0"/>
  <pageMargins left="0" right="0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4"/>
  <sheetViews>
    <sheetView workbookViewId="0">
      <pane xSplit="1" ySplit="2" topLeftCell="F183" activePane="bottomRight" state="frozen"/>
      <selection pane="topRight" activeCell="B1" sqref="B1"/>
      <selection pane="bottomLeft" activeCell="A3" sqref="A3"/>
      <selection pane="bottomRight" activeCell="I208" sqref="I208"/>
    </sheetView>
  </sheetViews>
  <sheetFormatPr defaultColWidth="10.83203125" defaultRowHeight="15.5"/>
  <cols>
    <col min="1" max="1" width="10.83203125" style="99"/>
    <col min="2" max="4" width="10.83203125" style="98"/>
    <col min="5" max="8" width="10.83203125" style="99"/>
    <col min="9" max="9" width="13" style="99" bestFit="1" customWidth="1"/>
    <col min="10" max="10" width="16" style="99" bestFit="1" customWidth="1"/>
    <col min="11" max="11" width="13.33203125" style="99" bestFit="1" customWidth="1"/>
    <col min="12" max="16384" width="10.83203125" style="99"/>
  </cols>
  <sheetData>
    <row r="1" spans="1:24" ht="35.15" customHeight="1">
      <c r="A1" s="97" t="s">
        <v>49</v>
      </c>
      <c r="H1" s="99" t="s">
        <v>50</v>
      </c>
      <c r="I1" s="99" t="s">
        <v>44</v>
      </c>
      <c r="J1" s="99" t="s">
        <v>53</v>
      </c>
      <c r="K1" s="99" t="s">
        <v>52</v>
      </c>
      <c r="L1" s="99" t="s">
        <v>30</v>
      </c>
      <c r="N1" s="99" t="s">
        <v>45</v>
      </c>
      <c r="O1" s="99" t="s">
        <v>51</v>
      </c>
      <c r="Q1" s="99" t="s">
        <v>63</v>
      </c>
      <c r="R1" s="97" t="s">
        <v>58</v>
      </c>
      <c r="W1" s="97" t="s">
        <v>74</v>
      </c>
      <c r="X1" s="100"/>
    </row>
    <row r="2" spans="1:24">
      <c r="A2" s="101" t="s">
        <v>48</v>
      </c>
      <c r="B2" s="102" t="s">
        <v>7</v>
      </c>
      <c r="C2" s="102" t="s">
        <v>43</v>
      </c>
      <c r="D2" s="102" t="s">
        <v>47</v>
      </c>
      <c r="H2" s="101" t="s">
        <v>48</v>
      </c>
      <c r="I2" s="101" t="s">
        <v>7</v>
      </c>
      <c r="J2" s="101" t="s">
        <v>43</v>
      </c>
      <c r="K2" s="101" t="s">
        <v>47</v>
      </c>
      <c r="L2" s="99" t="s">
        <v>8</v>
      </c>
      <c r="N2" s="99" t="s">
        <v>7</v>
      </c>
      <c r="O2" s="99">
        <v>2</v>
      </c>
      <c r="R2" s="103" t="s">
        <v>60</v>
      </c>
      <c r="V2" s="101" t="s">
        <v>48</v>
      </c>
      <c r="W2" s="100" t="s">
        <v>73</v>
      </c>
    </row>
    <row r="3" spans="1:24">
      <c r="A3" s="104">
        <v>37257</v>
      </c>
      <c r="B3" s="105">
        <v>2.4382000000000001</v>
      </c>
      <c r="C3" s="102">
        <v>3.5950000000000002</v>
      </c>
      <c r="D3" s="102">
        <v>4.0648999999999997</v>
      </c>
      <c r="H3" s="104">
        <v>37257</v>
      </c>
      <c r="I3" s="106">
        <v>1.8266999999999999E-2</v>
      </c>
      <c r="J3" s="106">
        <v>3.279E-2</v>
      </c>
      <c r="K3" s="107">
        <v>1.8599999999999998E-2</v>
      </c>
      <c r="L3" s="108">
        <v>0.1182</v>
      </c>
      <c r="N3" s="99" t="s">
        <v>43</v>
      </c>
      <c r="O3" s="99">
        <v>3</v>
      </c>
      <c r="Q3" s="104">
        <v>37257</v>
      </c>
      <c r="R3" s="109" t="e">
        <f>#REF!</f>
        <v>#REF!</v>
      </c>
      <c r="S3" s="97" t="s">
        <v>61</v>
      </c>
      <c r="V3" s="104">
        <v>37257</v>
      </c>
      <c r="W3" s="110">
        <v>0.96009999999999995</v>
      </c>
    </row>
    <row r="4" spans="1:24">
      <c r="A4" s="111">
        <v>37288</v>
      </c>
      <c r="B4" s="105">
        <v>2.4643000000000002</v>
      </c>
      <c r="C4" s="102">
        <v>3.6414</v>
      </c>
      <c r="D4" s="102">
        <v>4.1871</v>
      </c>
      <c r="H4" s="111">
        <v>37288</v>
      </c>
      <c r="I4" s="106">
        <v>1.6767000000000001E-2</v>
      </c>
      <c r="J4" s="106">
        <v>3.3750000000000002E-2</v>
      </c>
      <c r="K4" s="107">
        <v>1.9199999999999998E-2</v>
      </c>
      <c r="L4" s="108">
        <v>0.1081</v>
      </c>
      <c r="N4" s="99" t="s">
        <v>47</v>
      </c>
      <c r="O4" s="99">
        <v>4</v>
      </c>
      <c r="Q4" s="111">
        <v>37288</v>
      </c>
      <c r="R4" s="109" t="e">
        <f>#REF!</f>
        <v>#REF!</v>
      </c>
      <c r="V4" s="111">
        <v>37288</v>
      </c>
      <c r="W4" s="110">
        <v>0.95820000000000005</v>
      </c>
    </row>
    <row r="5" spans="1:24">
      <c r="A5" s="111">
        <v>37316</v>
      </c>
      <c r="B5" s="105">
        <v>2.4725999999999999</v>
      </c>
      <c r="C5" s="102">
        <v>3.6295000000000002</v>
      </c>
      <c r="D5" s="102">
        <v>4.1426999999999996</v>
      </c>
      <c r="H5" s="111">
        <v>37316</v>
      </c>
      <c r="I5" s="106">
        <v>1.7467E-2</v>
      </c>
      <c r="J5" s="106">
        <v>3.3669999999999999E-2</v>
      </c>
      <c r="K5" s="107">
        <v>1.9E-2</v>
      </c>
      <c r="L5" s="108">
        <v>0.1019</v>
      </c>
      <c r="Q5" s="111">
        <v>37316</v>
      </c>
      <c r="R5" s="109" t="e">
        <f>#REF!</f>
        <v>#REF!</v>
      </c>
      <c r="V5" s="111">
        <v>37316</v>
      </c>
      <c r="W5" s="110">
        <v>0.95430000000000004</v>
      </c>
    </row>
    <row r="6" spans="1:24">
      <c r="A6" s="111">
        <v>37347</v>
      </c>
      <c r="B6" s="105">
        <v>2.4517000000000002</v>
      </c>
      <c r="C6" s="102">
        <v>3.5947</v>
      </c>
      <c r="D6" s="102">
        <v>4.0590000000000002</v>
      </c>
      <c r="H6" s="111">
        <v>37347</v>
      </c>
      <c r="I6" s="106">
        <v>1.6282999999999999E-2</v>
      </c>
      <c r="J6" s="106">
        <v>3.4459999999999998E-2</v>
      </c>
      <c r="K6" s="107">
        <v>2.0400000000000001E-2</v>
      </c>
      <c r="L6" s="108">
        <v>0.10340000000000001</v>
      </c>
      <c r="Q6" s="111">
        <v>37347</v>
      </c>
      <c r="R6" s="109" t="e">
        <f>#REF!</f>
        <v>#REF!</v>
      </c>
      <c r="V6" s="111">
        <v>37347</v>
      </c>
      <c r="W6" s="110">
        <v>0.94450000000000001</v>
      </c>
    </row>
    <row r="7" spans="1:24">
      <c r="A7" s="111">
        <v>37377</v>
      </c>
      <c r="B7" s="105">
        <v>2.5421999999999998</v>
      </c>
      <c r="C7" s="102">
        <v>3.7025999999999999</v>
      </c>
      <c r="D7" s="102">
        <v>4.0453999999999999</v>
      </c>
      <c r="H7" s="111">
        <v>37377</v>
      </c>
      <c r="I7" s="106">
        <v>1.4999999999999999E-2</v>
      </c>
      <c r="J7" s="106">
        <v>3.3829999999999999E-2</v>
      </c>
      <c r="K7" s="107">
        <v>1.9199999999999998E-2</v>
      </c>
      <c r="L7" s="108">
        <v>0.10100000000000001</v>
      </c>
      <c r="M7" s="97" t="s">
        <v>54</v>
      </c>
      <c r="Q7" s="111">
        <v>37377</v>
      </c>
      <c r="R7" s="109" t="e">
        <f>#REF!</f>
        <v>#REF!</v>
      </c>
      <c r="V7" s="111">
        <v>37377</v>
      </c>
      <c r="W7" s="110">
        <v>0.94840000000000002</v>
      </c>
    </row>
    <row r="8" spans="1:24">
      <c r="A8" s="111">
        <v>37408</v>
      </c>
      <c r="B8" s="105">
        <v>2.6149</v>
      </c>
      <c r="C8" s="102">
        <v>3.8473999999999999</v>
      </c>
      <c r="D8" s="102">
        <v>4.0247000000000002</v>
      </c>
      <c r="H8" s="111">
        <v>37408</v>
      </c>
      <c r="I8" s="106">
        <v>1.2533000000000001E-2</v>
      </c>
      <c r="J8" s="106">
        <v>3.483E-2</v>
      </c>
      <c r="K8" s="107">
        <v>1.89E-2</v>
      </c>
      <c r="L8" s="108">
        <v>9.6000000000000002E-2</v>
      </c>
      <c r="M8" s="103" t="s">
        <v>66</v>
      </c>
      <c r="Q8" s="111">
        <v>37408</v>
      </c>
      <c r="R8" s="109" t="e">
        <f>#REF!</f>
        <v>#REF!</v>
      </c>
      <c r="V8" s="111">
        <v>37408</v>
      </c>
      <c r="W8" s="110">
        <v>0.95630000000000004</v>
      </c>
    </row>
    <row r="9" spans="1:24">
      <c r="A9" s="111">
        <v>37438</v>
      </c>
      <c r="B9" s="105">
        <v>2.7957000000000001</v>
      </c>
      <c r="C9" s="102">
        <v>4.0876999999999999</v>
      </c>
      <c r="D9" s="102">
        <v>4.1177000000000001</v>
      </c>
      <c r="H9" s="111">
        <v>37438</v>
      </c>
      <c r="I9" s="106">
        <v>1.2333E-2</v>
      </c>
      <c r="J9" s="106">
        <v>3.4380000000000001E-2</v>
      </c>
      <c r="K9" s="107">
        <v>1.8599999999999998E-2</v>
      </c>
      <c r="L9" s="108">
        <v>8.9300000000000004E-2</v>
      </c>
      <c r="Q9" s="111">
        <v>37438</v>
      </c>
      <c r="R9" s="109" t="e">
        <f>#REF!</f>
        <v>#REF!</v>
      </c>
      <c r="V9" s="111">
        <v>37438</v>
      </c>
      <c r="W9" s="110">
        <v>0.96609999999999996</v>
      </c>
    </row>
    <row r="10" spans="1:24">
      <c r="A10" s="111">
        <v>37469</v>
      </c>
      <c r="B10" s="105">
        <v>2.7926000000000002</v>
      </c>
      <c r="C10" s="102">
        <v>4.0852000000000004</v>
      </c>
      <c r="D10" s="102">
        <v>4.1788999999999996</v>
      </c>
      <c r="H10" s="111">
        <v>37469</v>
      </c>
      <c r="I10" s="106">
        <v>7.9500000000000005E-3</v>
      </c>
      <c r="J10" s="106">
        <v>3.3709999999999997E-2</v>
      </c>
      <c r="K10" s="107">
        <v>1.8100000000000002E-2</v>
      </c>
      <c r="L10" s="108">
        <v>8.6499999999999994E-2</v>
      </c>
      <c r="Q10" s="111">
        <v>37469</v>
      </c>
      <c r="R10" s="109" t="e">
        <f>#REF!</f>
        <v>#REF!</v>
      </c>
      <c r="V10" s="111">
        <v>37469</v>
      </c>
      <c r="W10" s="110">
        <v>0.97399999999999998</v>
      </c>
    </row>
    <row r="11" spans="1:24">
      <c r="A11" s="111">
        <v>37500</v>
      </c>
      <c r="B11" s="105">
        <v>2.7803</v>
      </c>
      <c r="C11" s="102">
        <v>4.0738000000000003</v>
      </c>
      <c r="D11" s="102">
        <v>4.1498999999999997</v>
      </c>
      <c r="H11" s="111">
        <v>37500</v>
      </c>
      <c r="I11" s="106">
        <v>7.4669999999999997E-3</v>
      </c>
      <c r="J11" s="106">
        <v>3.3509999999999998E-2</v>
      </c>
      <c r="K11" s="107">
        <v>1.8100000000000002E-2</v>
      </c>
      <c r="L11" s="108">
        <v>8.3299999999999999E-2</v>
      </c>
      <c r="N11" s="99" t="s">
        <v>37</v>
      </c>
      <c r="Q11" s="111">
        <v>37500</v>
      </c>
      <c r="R11" s="109" t="e">
        <f>#REF!</f>
        <v>#REF!</v>
      </c>
      <c r="V11" s="111">
        <v>37500</v>
      </c>
      <c r="W11" s="110">
        <v>0.96809999999999996</v>
      </c>
    </row>
    <row r="12" spans="1:24">
      <c r="A12" s="111">
        <v>37530</v>
      </c>
      <c r="B12" s="105">
        <v>2.7612999999999999</v>
      </c>
      <c r="C12" s="102">
        <v>4.0453999999999999</v>
      </c>
      <c r="D12" s="102">
        <v>4.1230000000000002</v>
      </c>
      <c r="H12" s="111">
        <v>37530</v>
      </c>
      <c r="I12" s="106">
        <v>7.3330000000000001E-3</v>
      </c>
      <c r="J12" s="106">
        <v>3.279E-2</v>
      </c>
      <c r="K12" s="107">
        <v>1.7600000000000001E-2</v>
      </c>
      <c r="L12" s="108">
        <v>7.6799999999999993E-2</v>
      </c>
      <c r="N12" s="99" t="s">
        <v>93</v>
      </c>
      <c r="Q12" s="111">
        <v>37530</v>
      </c>
      <c r="R12" s="109" t="e">
        <f>#REF!</f>
        <v>#REF!</v>
      </c>
      <c r="V12" s="111">
        <v>37530</v>
      </c>
      <c r="W12" s="110">
        <v>0.96220000000000006</v>
      </c>
    </row>
    <row r="13" spans="1:24">
      <c r="A13" s="111">
        <v>37561</v>
      </c>
      <c r="B13" s="105">
        <v>2.6983000000000001</v>
      </c>
      <c r="C13" s="102">
        <v>3.9592999999999998</v>
      </c>
      <c r="D13" s="102">
        <v>3.9557000000000002</v>
      </c>
      <c r="H13" s="111">
        <v>37561</v>
      </c>
      <c r="I13" s="106">
        <v>7.3670000000000003E-3</v>
      </c>
      <c r="J13" s="106">
        <v>3.236E-2</v>
      </c>
      <c r="K13" s="107">
        <v>1.66E-2</v>
      </c>
      <c r="L13" s="108">
        <v>7.0300000000000001E-2</v>
      </c>
      <c r="Q13" s="111">
        <v>37561</v>
      </c>
      <c r="R13" s="109" t="e">
        <f>#REF!</f>
        <v>#REF!</v>
      </c>
      <c r="V13" s="111">
        <v>37561</v>
      </c>
      <c r="W13" s="110">
        <v>0.96419999999999995</v>
      </c>
    </row>
    <row r="14" spans="1:24">
      <c r="A14" s="111">
        <v>37591</v>
      </c>
      <c r="B14" s="105">
        <v>2.7181999999999999</v>
      </c>
      <c r="C14" s="102">
        <v>3.9876</v>
      </c>
      <c r="D14" s="102">
        <v>3.9114</v>
      </c>
      <c r="H14" s="111">
        <v>37591</v>
      </c>
      <c r="I14" s="106">
        <v>7.4330000000000004E-3</v>
      </c>
      <c r="J14" s="106">
        <v>3.0360000000000002E-2</v>
      </c>
      <c r="K14" s="107">
        <v>1.4200000000000001E-2</v>
      </c>
      <c r="L14" s="108">
        <v>6.7000000000000004E-2</v>
      </c>
      <c r="Q14" s="111">
        <v>37591</v>
      </c>
      <c r="R14" s="109" t="e">
        <f>#REF!</f>
        <v>#REF!</v>
      </c>
      <c r="V14" s="111">
        <v>37591</v>
      </c>
      <c r="W14" s="110">
        <v>0.96220000000000006</v>
      </c>
    </row>
    <row r="15" spans="1:24">
      <c r="A15" s="111">
        <v>37622</v>
      </c>
      <c r="B15" s="105">
        <v>2.7816000000000001</v>
      </c>
      <c r="C15" s="102">
        <v>4.0644</v>
      </c>
      <c r="D15" s="102">
        <v>3.8321000000000001</v>
      </c>
      <c r="H15" s="111">
        <v>37622</v>
      </c>
      <c r="I15" s="106">
        <v>6.0169999999999998E-3</v>
      </c>
      <c r="J15" s="106">
        <v>2.861E-2</v>
      </c>
      <c r="K15" s="107">
        <v>1.38E-2</v>
      </c>
      <c r="L15" s="108">
        <v>6.7799999999999999E-2</v>
      </c>
      <c r="Q15" s="111">
        <v>37622</v>
      </c>
      <c r="R15" s="109" t="e">
        <f>#REF!</f>
        <v>#REF!</v>
      </c>
      <c r="V15" s="111">
        <v>37622</v>
      </c>
      <c r="W15" s="110">
        <v>0.95440000000000003</v>
      </c>
    </row>
    <row r="16" spans="1:24">
      <c r="A16" s="111">
        <v>37653</v>
      </c>
      <c r="B16" s="105">
        <v>2.8380999999999998</v>
      </c>
      <c r="C16" s="102">
        <v>4.1645000000000003</v>
      </c>
      <c r="D16" s="102">
        <v>3.8626</v>
      </c>
      <c r="H16" s="111">
        <v>37653</v>
      </c>
      <c r="I16" s="106">
        <v>6.0670000000000003E-3</v>
      </c>
      <c r="J16" s="106">
        <v>2.8070000000000001E-2</v>
      </c>
      <c r="K16" s="107">
        <v>1.35E-2</v>
      </c>
      <c r="L16" s="108">
        <v>6.4399999999999999E-2</v>
      </c>
      <c r="Q16" s="111">
        <v>37653</v>
      </c>
      <c r="R16" s="109" t="e">
        <f>#REF!</f>
        <v>#REF!</v>
      </c>
      <c r="V16" s="111">
        <v>37653</v>
      </c>
      <c r="W16" s="110">
        <v>0.95240000000000002</v>
      </c>
    </row>
    <row r="17" spans="1:23">
      <c r="A17" s="111">
        <v>37681</v>
      </c>
      <c r="B17" s="105">
        <v>2.9426000000000001</v>
      </c>
      <c r="C17" s="102">
        <v>4.3227000000000002</v>
      </c>
      <c r="D17" s="102">
        <v>4.0033000000000003</v>
      </c>
      <c r="H17" s="111">
        <v>37681</v>
      </c>
      <c r="I17" s="106">
        <v>5.7330000000000002E-3</v>
      </c>
      <c r="J17" s="106">
        <v>2.503E-2</v>
      </c>
      <c r="K17" s="107">
        <v>1.34E-2</v>
      </c>
      <c r="L17" s="108">
        <v>6.2799999999999995E-2</v>
      </c>
      <c r="Q17" s="111">
        <v>37681</v>
      </c>
      <c r="R17" s="109" t="e">
        <f>#REF!</f>
        <v>#REF!</v>
      </c>
      <c r="V17" s="111">
        <v>37681</v>
      </c>
      <c r="W17" s="110">
        <v>0.9466</v>
      </c>
    </row>
    <row r="18" spans="1:23">
      <c r="A18" s="111">
        <v>37712</v>
      </c>
      <c r="B18" s="105">
        <v>2.8725999999999998</v>
      </c>
      <c r="C18" s="102">
        <v>4.2984999999999998</v>
      </c>
      <c r="D18" s="102">
        <v>3.9609999999999999</v>
      </c>
      <c r="H18" s="111">
        <v>37712</v>
      </c>
      <c r="I18" s="106">
        <v>3.0999999999999999E-3</v>
      </c>
      <c r="J18" s="106">
        <v>2.5139999999999999E-2</v>
      </c>
      <c r="K18" s="107">
        <v>1.2800000000000001E-2</v>
      </c>
      <c r="L18" s="108">
        <v>5.9700000000000003E-2</v>
      </c>
      <c r="Q18" s="111">
        <v>37712</v>
      </c>
      <c r="R18" s="109" t="e">
        <f>#REF!</f>
        <v>#REF!</v>
      </c>
      <c r="V18" s="111">
        <v>37712</v>
      </c>
      <c r="W18" s="110">
        <v>0.94269999999999998</v>
      </c>
    </row>
    <row r="19" spans="1:23">
      <c r="A19" s="111">
        <v>37742</v>
      </c>
      <c r="B19" s="105">
        <v>2.8555000000000001</v>
      </c>
      <c r="C19" s="102">
        <v>4.3259999999999996</v>
      </c>
      <c r="D19" s="102">
        <v>3.7482000000000002</v>
      </c>
      <c r="H19" s="111">
        <v>37742</v>
      </c>
      <c r="I19" s="106">
        <v>3.0000000000000001E-3</v>
      </c>
      <c r="J19" s="106">
        <v>2.504E-2</v>
      </c>
      <c r="K19" s="107">
        <v>1.2999999999999999E-2</v>
      </c>
      <c r="L19" s="108">
        <v>5.7000000000000002E-2</v>
      </c>
      <c r="Q19" s="111">
        <v>37742</v>
      </c>
      <c r="R19" s="109" t="e">
        <f>#REF!</f>
        <v>#REF!</v>
      </c>
      <c r="V19" s="111">
        <v>37742</v>
      </c>
      <c r="W19" s="110">
        <v>0.94269999999999998</v>
      </c>
    </row>
    <row r="20" spans="1:23">
      <c r="A20" s="111">
        <v>37773</v>
      </c>
      <c r="B20" s="105">
        <v>2.8788999999999998</v>
      </c>
      <c r="C20" s="102">
        <v>4.4360999999999997</v>
      </c>
      <c r="D20" s="102">
        <v>3.7966000000000002</v>
      </c>
      <c r="H20" s="111">
        <v>37773</v>
      </c>
      <c r="I20" s="106">
        <v>2.8999999999999998E-3</v>
      </c>
      <c r="J20" s="106">
        <v>2.2579999999999999E-2</v>
      </c>
      <c r="K20" s="107">
        <v>1.2800000000000001E-2</v>
      </c>
      <c r="L20" s="108">
        <v>5.3999999999999999E-2</v>
      </c>
      <c r="Q20" s="111">
        <v>37773</v>
      </c>
      <c r="R20" s="109" t="e">
        <f>#REF!</f>
        <v>#REF!</v>
      </c>
      <c r="V20" s="111">
        <v>37773</v>
      </c>
      <c r="W20" s="110">
        <v>0.9446</v>
      </c>
    </row>
    <row r="21" spans="1:23">
      <c r="A21" s="111">
        <v>37803</v>
      </c>
      <c r="B21" s="105">
        <v>2.8721999999999999</v>
      </c>
      <c r="C21" s="102">
        <v>4.4428999999999998</v>
      </c>
      <c r="D21" s="102">
        <v>3.9064000000000001</v>
      </c>
      <c r="H21" s="111">
        <v>37803</v>
      </c>
      <c r="I21" s="106">
        <v>2.8E-3</v>
      </c>
      <c r="J21" s="106">
        <v>2.145E-2</v>
      </c>
      <c r="K21" s="107">
        <v>1.11E-2</v>
      </c>
      <c r="L21" s="108">
        <v>5.2900000000000003E-2</v>
      </c>
      <c r="Q21" s="111">
        <v>37803</v>
      </c>
      <c r="R21" s="109" t="e">
        <f>#REF!</f>
        <v>#REF!</v>
      </c>
      <c r="V21" s="111">
        <v>37803</v>
      </c>
      <c r="W21" s="110">
        <v>0.95250000000000001</v>
      </c>
    </row>
    <row r="22" spans="1:23">
      <c r="A22" s="111">
        <v>37834</v>
      </c>
      <c r="B22" s="105">
        <v>2.8344999999999998</v>
      </c>
      <c r="C22" s="102">
        <v>4.3667999999999996</v>
      </c>
      <c r="D22" s="102">
        <v>3.9184000000000001</v>
      </c>
      <c r="H22" s="111">
        <v>37834</v>
      </c>
      <c r="I22" s="106">
        <v>2.9329999999999998E-3</v>
      </c>
      <c r="J22" s="106">
        <v>2.129E-2</v>
      </c>
      <c r="K22" s="107">
        <v>1.14E-2</v>
      </c>
      <c r="L22" s="108">
        <v>5.2299999999999999E-2</v>
      </c>
      <c r="Q22" s="111">
        <v>37834</v>
      </c>
      <c r="R22" s="109" t="e">
        <f>#REF!</f>
        <v>#REF!</v>
      </c>
      <c r="V22" s="111">
        <v>37834</v>
      </c>
      <c r="W22" s="110">
        <v>0.96030000000000004</v>
      </c>
    </row>
    <row r="23" spans="1:23">
      <c r="A23" s="111">
        <v>37865</v>
      </c>
      <c r="B23" s="105">
        <v>2.8862999999999999</v>
      </c>
      <c r="C23" s="102">
        <v>4.4668999999999999</v>
      </c>
      <c r="D23" s="102">
        <v>3.9815</v>
      </c>
      <c r="H23" s="111">
        <v>37865</v>
      </c>
      <c r="I23" s="106">
        <v>2.6670000000000001E-3</v>
      </c>
      <c r="J23" s="106">
        <v>2.1510000000000001E-2</v>
      </c>
      <c r="K23" s="107">
        <v>1.14E-2</v>
      </c>
      <c r="L23" s="108">
        <v>5.1499999999999997E-2</v>
      </c>
      <c r="Q23" s="111">
        <v>37865</v>
      </c>
      <c r="R23" s="109" t="e">
        <f>#REF!</f>
        <v>#REF!</v>
      </c>
      <c r="V23" s="111">
        <v>37865</v>
      </c>
      <c r="W23" s="110">
        <v>0.95050000000000001</v>
      </c>
    </row>
    <row r="24" spans="1:23">
      <c r="A24" s="111">
        <v>37895</v>
      </c>
      <c r="B24" s="105">
        <v>2.9651000000000001</v>
      </c>
      <c r="C24" s="102">
        <v>4.5895000000000001</v>
      </c>
      <c r="D24" s="102">
        <v>3.9220999999999999</v>
      </c>
      <c r="H24" s="111">
        <v>37895</v>
      </c>
      <c r="I24" s="106">
        <v>2.4329999999999998E-3</v>
      </c>
      <c r="J24" s="106">
        <v>2.121E-2</v>
      </c>
      <c r="K24" s="107">
        <v>1.15E-2</v>
      </c>
      <c r="L24" s="108">
        <v>5.2699999999999997E-2</v>
      </c>
      <c r="Q24" s="111">
        <v>37895</v>
      </c>
      <c r="R24" s="109" t="e">
        <f>#REF!</f>
        <v>#REF!</v>
      </c>
      <c r="V24" s="111">
        <v>37895</v>
      </c>
      <c r="W24" s="110">
        <v>0.93889999999999996</v>
      </c>
    </row>
    <row r="25" spans="1:23">
      <c r="A25" s="111">
        <v>37926</v>
      </c>
      <c r="B25" s="105">
        <v>2.9691000000000001</v>
      </c>
      <c r="C25" s="102">
        <v>4.6254</v>
      </c>
      <c r="D25" s="102">
        <v>3.9487999999999999</v>
      </c>
      <c r="H25" s="111">
        <v>37926</v>
      </c>
      <c r="I25" s="106">
        <v>2.4919999999999999E-3</v>
      </c>
      <c r="J25" s="106">
        <v>2.163E-2</v>
      </c>
      <c r="K25" s="107">
        <v>1.17E-2</v>
      </c>
      <c r="L25" s="108">
        <v>5.8299999999999998E-2</v>
      </c>
      <c r="Q25" s="111">
        <v>37926</v>
      </c>
      <c r="R25" s="109" t="e">
        <f>#REF!</f>
        <v>#REF!</v>
      </c>
      <c r="V25" s="111">
        <v>37926</v>
      </c>
      <c r="W25" s="110">
        <v>0.93310000000000004</v>
      </c>
    </row>
    <row r="26" spans="1:23">
      <c r="A26" s="111">
        <v>37956</v>
      </c>
      <c r="B26" s="105">
        <v>2.9923999999999999</v>
      </c>
      <c r="C26" s="102">
        <v>4.6547000000000001</v>
      </c>
      <c r="D26" s="102">
        <v>3.7879</v>
      </c>
      <c r="H26" s="111">
        <v>37956</v>
      </c>
      <c r="I26" s="106">
        <v>2.7330000000000002E-3</v>
      </c>
      <c r="J26" s="106">
        <v>2.1600000000000001E-2</v>
      </c>
      <c r="K26" s="107">
        <v>1.18E-2</v>
      </c>
      <c r="L26" s="108">
        <v>5.8599999999999999E-2</v>
      </c>
      <c r="Q26" s="111">
        <v>37956</v>
      </c>
      <c r="R26" s="109" t="e">
        <f>#REF!</f>
        <v>#REF!</v>
      </c>
      <c r="V26" s="111">
        <v>37956</v>
      </c>
      <c r="W26" s="110">
        <v>0.92930000000000001</v>
      </c>
    </row>
    <row r="27" spans="1:23">
      <c r="A27" s="104">
        <v>37987</v>
      </c>
      <c r="B27" s="105">
        <v>3.0099</v>
      </c>
      <c r="C27" s="102">
        <v>4.7115999999999998</v>
      </c>
      <c r="D27" s="102">
        <v>3.7349000000000001</v>
      </c>
      <c r="H27" s="104">
        <v>37987</v>
      </c>
      <c r="I27" s="106">
        <v>2.5999999999999999E-3</v>
      </c>
      <c r="J27" s="106">
        <v>2.12E-2</v>
      </c>
      <c r="K27" s="107">
        <v>1.15E-2</v>
      </c>
      <c r="L27" s="108">
        <v>5.5199999999999999E-2</v>
      </c>
      <c r="Q27" s="104">
        <v>37987</v>
      </c>
      <c r="R27" s="112">
        <v>1.6999999999999994E-2</v>
      </c>
      <c r="S27" s="99" t="s">
        <v>59</v>
      </c>
      <c r="V27" s="104">
        <v>37987</v>
      </c>
      <c r="W27" s="110">
        <v>0.92159999999999997</v>
      </c>
    </row>
    <row r="28" spans="1:23">
      <c r="A28" s="104">
        <v>38018</v>
      </c>
      <c r="B28" s="105">
        <v>3.0846</v>
      </c>
      <c r="C28" s="102">
        <v>4.8541999999999996</v>
      </c>
      <c r="D28" s="102">
        <v>3.8456999999999999</v>
      </c>
      <c r="H28" s="104">
        <v>38018</v>
      </c>
      <c r="I28" s="106">
        <v>2.4499999999999999E-3</v>
      </c>
      <c r="J28" s="106">
        <v>2.0910000000000002E-2</v>
      </c>
      <c r="K28" s="107">
        <v>1.1299999999999999E-2</v>
      </c>
      <c r="L28" s="108">
        <v>5.5E-2</v>
      </c>
      <c r="Q28" s="104">
        <v>38018</v>
      </c>
      <c r="R28" s="112">
        <v>1.7800000000000003E-2</v>
      </c>
      <c r="V28" s="104">
        <v>38018</v>
      </c>
      <c r="W28" s="110">
        <v>0.91969999999999996</v>
      </c>
    </row>
    <row r="29" spans="1:23">
      <c r="A29" s="104">
        <v>38047</v>
      </c>
      <c r="B29" s="105">
        <v>3.0444</v>
      </c>
      <c r="C29" s="102">
        <v>4.7683</v>
      </c>
      <c r="D29" s="102">
        <v>3.8902999999999999</v>
      </c>
      <c r="H29" s="104">
        <v>38047</v>
      </c>
      <c r="I29" s="106">
        <v>2.5999999999999999E-3</v>
      </c>
      <c r="J29" s="106">
        <v>2.0469999999999999E-2</v>
      </c>
      <c r="K29" s="107">
        <v>1.12E-2</v>
      </c>
      <c r="L29" s="108">
        <v>5.5199999999999999E-2</v>
      </c>
      <c r="Q29" s="104">
        <v>38047</v>
      </c>
      <c r="R29" s="112">
        <v>1.8099999999999998E-2</v>
      </c>
      <c r="V29" s="104">
        <v>38047</v>
      </c>
      <c r="W29" s="110">
        <v>0.91390000000000005</v>
      </c>
    </row>
    <row r="30" spans="1:23">
      <c r="A30" s="104">
        <v>38078</v>
      </c>
      <c r="B30" s="105">
        <v>3.0602</v>
      </c>
      <c r="C30" s="102">
        <v>4.7580999999999998</v>
      </c>
      <c r="D30" s="102">
        <v>3.9586999999999999</v>
      </c>
      <c r="H30" s="104">
        <v>38078</v>
      </c>
      <c r="I30" s="106">
        <v>2.5000000000000001E-3</v>
      </c>
      <c r="J30" s="106">
        <v>1.9599999999999999E-2</v>
      </c>
      <c r="K30" s="107">
        <v>1.11E-2</v>
      </c>
      <c r="L30" s="108">
        <v>5.5E-2</v>
      </c>
      <c r="Q30" s="104">
        <v>38078</v>
      </c>
      <c r="R30" s="112">
        <v>1.7800000000000003E-2</v>
      </c>
      <c r="V30" s="104">
        <v>38078</v>
      </c>
      <c r="W30" s="110">
        <v>0.89870000000000005</v>
      </c>
    </row>
    <row r="31" spans="1:23">
      <c r="A31" s="104">
        <v>38108</v>
      </c>
      <c r="B31" s="105">
        <v>3.0695000000000001</v>
      </c>
      <c r="C31" s="102">
        <v>4.7290000000000001</v>
      </c>
      <c r="D31" s="102">
        <v>3.9359999999999999</v>
      </c>
      <c r="H31" s="104">
        <v>38108</v>
      </c>
      <c r="I31" s="106">
        <v>2.7169999999999998E-3</v>
      </c>
      <c r="J31" s="106">
        <v>2.0719999999999999E-2</v>
      </c>
      <c r="K31" s="107">
        <v>1.18E-2</v>
      </c>
      <c r="L31" s="108">
        <v>5.91E-2</v>
      </c>
      <c r="Q31" s="104">
        <v>38108</v>
      </c>
      <c r="R31" s="112">
        <v>1.5499999999999993E-2</v>
      </c>
      <c r="V31" s="104">
        <v>38108</v>
      </c>
      <c r="W31" s="110">
        <v>0.87990000000000002</v>
      </c>
    </row>
    <row r="32" spans="1:23">
      <c r="A32" s="104">
        <v>38139</v>
      </c>
      <c r="B32" s="105">
        <v>3.0251999999999999</v>
      </c>
      <c r="C32" s="102">
        <v>4.5932000000000004</v>
      </c>
      <c r="D32" s="102">
        <v>3.7867000000000002</v>
      </c>
      <c r="H32" s="104">
        <v>38139</v>
      </c>
      <c r="I32" s="106">
        <v>2.5999999999999999E-3</v>
      </c>
      <c r="J32" s="106">
        <v>2.087E-2</v>
      </c>
      <c r="K32" s="107">
        <v>1.3299999999999999E-2</v>
      </c>
      <c r="L32" s="108">
        <v>5.9499999999999997E-2</v>
      </c>
      <c r="Q32" s="104">
        <v>38139</v>
      </c>
      <c r="R32" s="112">
        <v>1.7000000000000001E-2</v>
      </c>
      <c r="V32" s="104">
        <v>38139</v>
      </c>
      <c r="W32" s="110">
        <v>0.86319999999999997</v>
      </c>
    </row>
    <row r="33" spans="1:23">
      <c r="A33" s="104">
        <v>38169</v>
      </c>
      <c r="B33" s="105">
        <v>2.9270999999999998</v>
      </c>
      <c r="C33" s="102">
        <v>4.4686000000000003</v>
      </c>
      <c r="D33" s="102">
        <v>3.6429999999999998</v>
      </c>
      <c r="H33" s="104">
        <v>38169</v>
      </c>
      <c r="I33" s="106">
        <v>4.9670000000000001E-3</v>
      </c>
      <c r="J33" s="106">
        <v>2.1160000000000002E-2</v>
      </c>
      <c r="K33" s="107">
        <v>1.6E-2</v>
      </c>
      <c r="L33" s="108">
        <v>6.1800000000000001E-2</v>
      </c>
      <c r="Q33" s="104">
        <v>38169</v>
      </c>
      <c r="R33" s="112">
        <v>1.6200000000000006E-2</v>
      </c>
      <c r="V33" s="104">
        <v>38169</v>
      </c>
      <c r="W33" s="110">
        <v>0.86499999999999999</v>
      </c>
    </row>
    <row r="34" spans="1:23">
      <c r="A34" s="104">
        <v>38200</v>
      </c>
      <c r="B34" s="105">
        <v>2.8835999999999999</v>
      </c>
      <c r="C34" s="102">
        <v>4.4355000000000002</v>
      </c>
      <c r="D34" s="102">
        <v>3.6434000000000002</v>
      </c>
      <c r="H34" s="104">
        <v>38200</v>
      </c>
      <c r="I34" s="106">
        <v>5.3330000000000001E-3</v>
      </c>
      <c r="J34" s="106">
        <v>2.1149999999999999E-2</v>
      </c>
      <c r="K34" s="107">
        <v>1.6899999999999998E-2</v>
      </c>
      <c r="L34" s="108">
        <v>6.4100000000000004E-2</v>
      </c>
      <c r="Q34" s="104">
        <v>38200</v>
      </c>
      <c r="R34" s="112">
        <v>1.6E-2</v>
      </c>
      <c r="V34" s="104">
        <v>38200</v>
      </c>
      <c r="W34" s="110">
        <v>0.87250000000000005</v>
      </c>
    </row>
    <row r="35" spans="1:23">
      <c r="A35" s="104">
        <v>38231</v>
      </c>
      <c r="B35" s="105">
        <v>2.8365</v>
      </c>
      <c r="C35" s="102">
        <v>4.3764000000000003</v>
      </c>
      <c r="D35" s="102">
        <v>3.5827</v>
      </c>
      <c r="H35" s="104">
        <v>38231</v>
      </c>
      <c r="I35" s="106">
        <v>6.45E-3</v>
      </c>
      <c r="J35" s="106">
        <v>2.1149999999999999E-2</v>
      </c>
      <c r="K35" s="107">
        <v>1.7999999999999999E-2</v>
      </c>
      <c r="L35" s="108">
        <v>7.0900000000000005E-2</v>
      </c>
      <c r="Q35" s="104">
        <v>38231</v>
      </c>
      <c r="R35" s="112">
        <v>1.2399999999999994E-2</v>
      </c>
      <c r="V35" s="104">
        <v>38231</v>
      </c>
      <c r="W35" s="110">
        <v>0.8669</v>
      </c>
    </row>
    <row r="36" spans="1:23">
      <c r="A36" s="104">
        <v>38261</v>
      </c>
      <c r="B36" s="105">
        <v>2.8031999999999999</v>
      </c>
      <c r="C36" s="102">
        <v>4.3235000000000001</v>
      </c>
      <c r="D36" s="102">
        <v>3.4601999999999999</v>
      </c>
      <c r="H36" s="104">
        <v>38261</v>
      </c>
      <c r="I36" s="106">
        <v>7.0000000000000001E-3</v>
      </c>
      <c r="J36" s="106">
        <v>2.1479999999999999E-2</v>
      </c>
      <c r="K36" s="107">
        <v>2.0299999999999999E-2</v>
      </c>
      <c r="L36" s="108">
        <v>6.9199999999999998E-2</v>
      </c>
      <c r="Q36" s="104">
        <v>38261</v>
      </c>
      <c r="R36" s="112">
        <v>1.7799999999999996E-2</v>
      </c>
      <c r="V36" s="104">
        <v>38261</v>
      </c>
      <c r="W36" s="110">
        <v>0.85580000000000001</v>
      </c>
    </row>
    <row r="37" spans="1:23">
      <c r="A37" s="104">
        <v>38292</v>
      </c>
      <c r="B37" s="105">
        <v>2.8008000000000002</v>
      </c>
      <c r="C37" s="102">
        <v>4.2619999999999996</v>
      </c>
      <c r="D37" s="102">
        <v>3.2829999999999999</v>
      </c>
      <c r="H37" s="104">
        <v>38292</v>
      </c>
      <c r="I37" s="106">
        <v>7.2830000000000004E-3</v>
      </c>
      <c r="J37" s="106">
        <v>2.1520000000000001E-2</v>
      </c>
      <c r="K37" s="107">
        <v>2.18E-2</v>
      </c>
      <c r="L37" s="108">
        <v>6.8400000000000002E-2</v>
      </c>
      <c r="Q37" s="104">
        <v>38292</v>
      </c>
      <c r="R37" s="112">
        <v>1.8500000000000003E-2</v>
      </c>
      <c r="V37" s="104">
        <v>38292</v>
      </c>
      <c r="W37" s="110">
        <v>0.85019999999999996</v>
      </c>
    </row>
    <row r="38" spans="1:23">
      <c r="A38" s="104">
        <v>38322</v>
      </c>
      <c r="B38" s="105">
        <v>2.6987000000000001</v>
      </c>
      <c r="C38" s="102">
        <v>4.1437999999999997</v>
      </c>
      <c r="D38" s="102">
        <v>3.0954000000000002</v>
      </c>
      <c r="H38" s="104">
        <v>38322</v>
      </c>
      <c r="I38" s="106">
        <v>7.3000000000000001E-3</v>
      </c>
      <c r="J38" s="106">
        <v>2.1739999999999999E-2</v>
      </c>
      <c r="K38" s="107">
        <v>2.4199999999999999E-2</v>
      </c>
      <c r="L38" s="108">
        <v>6.7599999999999993E-2</v>
      </c>
      <c r="Q38" s="104">
        <v>38322</v>
      </c>
      <c r="R38" s="113">
        <v>1.7899999999999999E-2</v>
      </c>
      <c r="V38" s="104">
        <v>38322</v>
      </c>
      <c r="W38" s="110">
        <v>0.84840000000000004</v>
      </c>
    </row>
    <row r="39" spans="1:23">
      <c r="A39" s="104">
        <v>38353</v>
      </c>
      <c r="B39" s="105">
        <v>2.6389999999999998</v>
      </c>
      <c r="C39" s="105">
        <v>4.0815999999999999</v>
      </c>
      <c r="D39" s="102">
        <v>3.1032999999999999</v>
      </c>
      <c r="H39" s="104">
        <v>38353</v>
      </c>
      <c r="I39" s="106">
        <v>7.1000000000000004E-3</v>
      </c>
      <c r="J39" s="106">
        <v>2.1510000000000001E-2</v>
      </c>
      <c r="K39" s="107">
        <v>2.5700000000000001E-2</v>
      </c>
      <c r="L39" s="108">
        <v>6.6299999999999998E-2</v>
      </c>
      <c r="Q39" s="104">
        <v>38353</v>
      </c>
      <c r="R39" s="112">
        <v>1.7600000000000005E-2</v>
      </c>
      <c r="V39" s="104">
        <v>38353</v>
      </c>
      <c r="W39" s="110">
        <v>0.84650000000000003</v>
      </c>
    </row>
    <row r="40" spans="1:23">
      <c r="A40" s="104">
        <v>38384</v>
      </c>
      <c r="B40" s="105">
        <v>2.5697999999999999</v>
      </c>
      <c r="C40" s="105">
        <v>3.9841000000000002</v>
      </c>
      <c r="D40" s="102">
        <v>3.0600999999999998</v>
      </c>
      <c r="H40" s="104">
        <v>38384</v>
      </c>
      <c r="I40" s="106">
        <v>7.4999999999999997E-3</v>
      </c>
      <c r="J40" s="106">
        <v>2.1420000000000002E-2</v>
      </c>
      <c r="K40" s="107">
        <v>2.75E-2</v>
      </c>
      <c r="L40" s="108">
        <v>6.54E-2</v>
      </c>
      <c r="Q40" s="104">
        <v>38384</v>
      </c>
      <c r="R40" s="112">
        <v>1.6700000000000007E-2</v>
      </c>
      <c r="V40" s="104">
        <v>38384</v>
      </c>
      <c r="W40" s="110">
        <v>0.84840000000000004</v>
      </c>
    </row>
    <row r="41" spans="1:23">
      <c r="A41" s="104">
        <v>38412</v>
      </c>
      <c r="B41" s="105">
        <v>2.5945</v>
      </c>
      <c r="C41" s="105">
        <v>4.0209000000000001</v>
      </c>
      <c r="D41" s="102">
        <v>3.0491999999999999</v>
      </c>
      <c r="H41" s="104">
        <v>38412</v>
      </c>
      <c r="I41" s="106">
        <v>7.5830000000000003E-3</v>
      </c>
      <c r="J41" s="106">
        <v>2.1360000000000001E-2</v>
      </c>
      <c r="K41" s="107">
        <v>2.93E-2</v>
      </c>
      <c r="L41" s="108">
        <v>6.1499999999999999E-2</v>
      </c>
      <c r="Q41" s="104">
        <v>38412</v>
      </c>
      <c r="R41" s="112">
        <v>2.0600000000000007E-2</v>
      </c>
      <c r="V41" s="104">
        <v>38412</v>
      </c>
      <c r="W41" s="110">
        <v>0.84650000000000003</v>
      </c>
    </row>
    <row r="42" spans="1:23">
      <c r="A42" s="104">
        <v>38443</v>
      </c>
      <c r="B42" s="105">
        <v>2.6821000000000002</v>
      </c>
      <c r="C42" s="105">
        <v>4.1509999999999998</v>
      </c>
      <c r="D42" s="102">
        <v>3.2052999999999998</v>
      </c>
      <c r="H42" s="104">
        <v>38443</v>
      </c>
      <c r="I42" s="106">
        <v>7.7000000000000002E-3</v>
      </c>
      <c r="J42" s="106">
        <v>2.147E-2</v>
      </c>
      <c r="K42" s="107">
        <v>3.1199999999999999E-2</v>
      </c>
      <c r="L42" s="108">
        <v>5.7799999999999997E-2</v>
      </c>
      <c r="Q42" s="104">
        <v>38443</v>
      </c>
      <c r="R42" s="112">
        <v>1.6900000000000005E-2</v>
      </c>
      <c r="V42" s="104">
        <v>38443</v>
      </c>
      <c r="W42" s="110">
        <v>0.83919999999999995</v>
      </c>
    </row>
    <row r="43" spans="1:23">
      <c r="A43" s="104">
        <v>38473</v>
      </c>
      <c r="B43" s="105">
        <v>2.7075</v>
      </c>
      <c r="C43" s="105">
        <v>4.1826999999999996</v>
      </c>
      <c r="D43" s="102">
        <v>3.2909000000000002</v>
      </c>
      <c r="H43" s="104">
        <v>38473</v>
      </c>
      <c r="I43" s="106">
        <v>7.6E-3</v>
      </c>
      <c r="J43" s="106">
        <v>2.1260000000000001E-2</v>
      </c>
      <c r="K43" s="107">
        <v>3.2199999999999999E-2</v>
      </c>
      <c r="L43" s="108">
        <v>5.4800000000000001E-2</v>
      </c>
      <c r="Q43" s="104">
        <v>38473</v>
      </c>
      <c r="R43" s="112">
        <v>2.18E-2</v>
      </c>
      <c r="V43" s="104">
        <v>38473</v>
      </c>
      <c r="W43" s="110">
        <v>0.8337</v>
      </c>
    </row>
    <row r="44" spans="1:23">
      <c r="A44" s="104">
        <v>38504</v>
      </c>
      <c r="B44" s="105">
        <v>2.6396000000000002</v>
      </c>
      <c r="C44" s="105">
        <v>4.0602999999999998</v>
      </c>
      <c r="D44" s="102">
        <v>3.3365</v>
      </c>
      <c r="H44" s="104">
        <v>38504</v>
      </c>
      <c r="I44" s="106">
        <v>7.4999999999999997E-3</v>
      </c>
      <c r="J44" s="106">
        <v>2.1239999999999998E-2</v>
      </c>
      <c r="K44" s="107">
        <v>3.3500000000000002E-2</v>
      </c>
      <c r="L44" s="108">
        <v>5.2200000000000003E-2</v>
      </c>
      <c r="Q44" s="104">
        <v>38504</v>
      </c>
      <c r="R44" s="112">
        <v>1.5899999999999991E-2</v>
      </c>
      <c r="V44" s="104">
        <v>38504</v>
      </c>
      <c r="W44" s="110">
        <v>0.83730000000000004</v>
      </c>
    </row>
    <row r="45" spans="1:23">
      <c r="A45" s="104">
        <v>38534</v>
      </c>
      <c r="B45" s="105">
        <v>2.6297000000000001</v>
      </c>
      <c r="C45" s="105">
        <v>4.0972999999999997</v>
      </c>
      <c r="D45" s="102">
        <v>3.3992</v>
      </c>
      <c r="H45" s="104">
        <v>38534</v>
      </c>
      <c r="I45" s="106">
        <v>7.4669999999999997E-3</v>
      </c>
      <c r="J45" s="106">
        <v>2.1069999999999998E-2</v>
      </c>
      <c r="K45" s="107">
        <v>3.5299999999999998E-2</v>
      </c>
      <c r="L45" s="108">
        <v>4.6800000000000001E-2</v>
      </c>
      <c r="Q45" s="104">
        <v>38534</v>
      </c>
      <c r="R45" s="112">
        <v>1.77E-2</v>
      </c>
      <c r="V45" s="104">
        <v>38534</v>
      </c>
      <c r="W45" s="110">
        <v>0.84099999999999997</v>
      </c>
    </row>
    <row r="46" spans="1:23">
      <c r="A46" s="104">
        <v>38565</v>
      </c>
      <c r="B46" s="105">
        <v>2.6048</v>
      </c>
      <c r="C46" s="105">
        <v>4.0449999999999999</v>
      </c>
      <c r="D46" s="102">
        <v>3.2871000000000001</v>
      </c>
      <c r="H46" s="104">
        <v>38565</v>
      </c>
      <c r="I46" s="106">
        <v>7.5669999999999999E-3</v>
      </c>
      <c r="J46" s="106">
        <v>2.1260000000000001E-2</v>
      </c>
      <c r="K46" s="107">
        <v>3.7100000000000001E-2</v>
      </c>
      <c r="L46" s="108">
        <v>4.6699999999999998E-2</v>
      </c>
      <c r="Q46" s="104">
        <v>38565</v>
      </c>
      <c r="R46" s="112">
        <v>1.8200000000000001E-2</v>
      </c>
      <c r="V46" s="104">
        <v>38565</v>
      </c>
      <c r="W46" s="110">
        <v>0.84289999999999998</v>
      </c>
    </row>
    <row r="47" spans="1:23">
      <c r="A47" s="104">
        <v>38596</v>
      </c>
      <c r="B47" s="102">
        <v>2.5337999999999998</v>
      </c>
      <c r="C47" s="102">
        <v>3.9247000000000001</v>
      </c>
      <c r="D47" s="102">
        <v>3.1951999999999998</v>
      </c>
      <c r="H47" s="104">
        <v>38596</v>
      </c>
      <c r="I47" s="106">
        <v>7.6E-3</v>
      </c>
      <c r="J47" s="106">
        <v>2.1329999999999998E-2</v>
      </c>
      <c r="K47" s="107">
        <v>3.8600000000000002E-2</v>
      </c>
      <c r="L47" s="108">
        <v>4.5100000000000001E-2</v>
      </c>
      <c r="Q47" s="104">
        <v>38596</v>
      </c>
      <c r="R47" s="112">
        <v>1.67E-2</v>
      </c>
      <c r="V47" s="104">
        <v>38596</v>
      </c>
      <c r="W47" s="110">
        <v>0.83550000000000002</v>
      </c>
    </row>
    <row r="48" spans="1:23">
      <c r="A48" s="104">
        <v>38626</v>
      </c>
      <c r="B48" s="105">
        <v>2.5343</v>
      </c>
      <c r="C48" s="105">
        <v>3.9260999999999999</v>
      </c>
      <c r="D48" s="102">
        <v>3.26</v>
      </c>
      <c r="H48" s="104">
        <v>38626</v>
      </c>
      <c r="I48" s="106">
        <v>7.9830000000000005E-3</v>
      </c>
      <c r="J48" s="106">
        <v>2.1780000000000001E-2</v>
      </c>
      <c r="K48" s="107">
        <v>4.0800000000000003E-2</v>
      </c>
      <c r="L48" s="108">
        <v>4.5499999999999999E-2</v>
      </c>
      <c r="Q48" s="104">
        <v>38626</v>
      </c>
      <c r="R48" s="112">
        <v>1.7600000000000005E-2</v>
      </c>
      <c r="V48" s="104">
        <v>38626</v>
      </c>
      <c r="W48" s="110">
        <v>0.82820000000000005</v>
      </c>
    </row>
    <row r="49" spans="1:23">
      <c r="A49" s="104">
        <v>38657</v>
      </c>
      <c r="B49" s="105">
        <v>2.5703</v>
      </c>
      <c r="C49" s="105">
        <v>3.9721000000000002</v>
      </c>
      <c r="D49" s="102">
        <v>3.3672</v>
      </c>
      <c r="H49" s="104">
        <v>38657</v>
      </c>
      <c r="I49" s="106">
        <v>8.6999999999999994E-3</v>
      </c>
      <c r="J49" s="106">
        <v>2.264E-2</v>
      </c>
      <c r="K49" s="107">
        <v>4.2599999999999999E-2</v>
      </c>
      <c r="L49" s="108">
        <v>4.6399999999999997E-2</v>
      </c>
      <c r="Q49" s="104">
        <v>38657</v>
      </c>
      <c r="R49" s="112">
        <v>1.5300000000000001E-2</v>
      </c>
      <c r="V49" s="104">
        <v>38657</v>
      </c>
      <c r="W49" s="110">
        <v>0.83189999999999997</v>
      </c>
    </row>
    <row r="50" spans="1:23">
      <c r="A50" s="104">
        <v>38687</v>
      </c>
      <c r="B50" s="105">
        <v>2.4908999999999999</v>
      </c>
      <c r="C50" s="105">
        <v>3.8559000000000001</v>
      </c>
      <c r="D50" s="102">
        <v>3.2517999999999998</v>
      </c>
      <c r="H50" s="104">
        <v>38687</v>
      </c>
      <c r="I50" s="106">
        <v>1.0416999999999999E-2</v>
      </c>
      <c r="J50" s="106">
        <v>2.4740000000000002E-2</v>
      </c>
      <c r="K50" s="107">
        <v>4.4400000000000002E-2</v>
      </c>
      <c r="L50" s="108">
        <v>4.6199999999999998E-2</v>
      </c>
      <c r="Q50" s="104">
        <v>38687</v>
      </c>
      <c r="R50" s="112">
        <v>1.67E-2</v>
      </c>
      <c r="V50" s="104">
        <v>38687</v>
      </c>
      <c r="W50" s="110">
        <v>0.83550000000000002</v>
      </c>
    </row>
    <row r="51" spans="1:23">
      <c r="A51" s="104">
        <v>38718</v>
      </c>
      <c r="B51" s="105">
        <v>2.4678</v>
      </c>
      <c r="C51" s="105">
        <v>3.8245</v>
      </c>
      <c r="D51" s="102">
        <v>3.1598999999999999</v>
      </c>
      <c r="H51" s="104">
        <v>38718</v>
      </c>
      <c r="I51" s="106">
        <v>1.01E-2</v>
      </c>
      <c r="J51" s="106">
        <v>2.4879999999999999E-2</v>
      </c>
      <c r="K51" s="107">
        <v>4.5400000000000003E-2</v>
      </c>
      <c r="L51" s="108">
        <v>4.4900000000000002E-2</v>
      </c>
      <c r="Q51" s="104">
        <v>38718</v>
      </c>
      <c r="R51" s="112">
        <v>1.6399999999999998E-2</v>
      </c>
      <c r="V51" s="104">
        <v>38718</v>
      </c>
      <c r="W51" s="110">
        <v>0.83189999999999997</v>
      </c>
    </row>
    <row r="52" spans="1:23">
      <c r="A52" s="104">
        <v>38749</v>
      </c>
      <c r="B52" s="105">
        <v>2.4352</v>
      </c>
      <c r="C52" s="105">
        <v>3.7936999999999999</v>
      </c>
      <c r="D52" s="102">
        <v>3.1743999999999999</v>
      </c>
      <c r="H52" s="104">
        <v>38749</v>
      </c>
      <c r="I52" s="106">
        <v>1.09E-2</v>
      </c>
      <c r="J52" s="106">
        <v>2.554E-2</v>
      </c>
      <c r="K52" s="107">
        <v>4.6899999999999997E-2</v>
      </c>
      <c r="L52" s="108">
        <v>4.2599999999999999E-2</v>
      </c>
      <c r="Q52" s="104">
        <v>38749</v>
      </c>
      <c r="R52" s="112">
        <v>1.6399999999999998E-2</v>
      </c>
      <c r="V52" s="104">
        <v>38749</v>
      </c>
      <c r="W52" s="110">
        <v>0.83189999999999997</v>
      </c>
    </row>
    <row r="53" spans="1:23">
      <c r="A53" s="104">
        <v>38777</v>
      </c>
      <c r="B53" s="105">
        <v>2.4695999999999998</v>
      </c>
      <c r="C53" s="105">
        <v>3.8748</v>
      </c>
      <c r="D53" s="102">
        <v>3.2229000000000001</v>
      </c>
      <c r="H53" s="104">
        <v>38777</v>
      </c>
      <c r="I53" s="106">
        <v>1.21E-2</v>
      </c>
      <c r="J53" s="106">
        <v>2.666E-2</v>
      </c>
      <c r="K53" s="107">
        <v>4.8300000000000003E-2</v>
      </c>
      <c r="L53" s="108">
        <v>4.1200000000000001E-2</v>
      </c>
      <c r="Q53" s="104">
        <v>38777</v>
      </c>
      <c r="R53" s="114">
        <v>1.6800000000000002E-2</v>
      </c>
      <c r="V53" s="104">
        <v>38777</v>
      </c>
      <c r="W53" s="110">
        <v>0.8337</v>
      </c>
    </row>
    <row r="54" spans="1:23">
      <c r="A54" s="104">
        <v>38808</v>
      </c>
      <c r="B54" s="105">
        <v>2.4885999999999999</v>
      </c>
      <c r="C54" s="105">
        <v>3.9194</v>
      </c>
      <c r="D54" s="102">
        <v>3.1981999999999999</v>
      </c>
      <c r="H54" s="104">
        <v>38808</v>
      </c>
      <c r="I54" s="106">
        <v>1.2800000000000001E-2</v>
      </c>
      <c r="J54" s="106">
        <v>2.818E-2</v>
      </c>
      <c r="K54" s="107">
        <v>0.05</v>
      </c>
      <c r="L54" s="108">
        <v>4.1399999999999999E-2</v>
      </c>
      <c r="Q54" s="104">
        <v>38808</v>
      </c>
      <c r="R54" s="114">
        <v>1.55E-2</v>
      </c>
      <c r="V54" s="104">
        <v>38808</v>
      </c>
      <c r="W54" s="110">
        <v>0.82099999999999995</v>
      </c>
    </row>
    <row r="55" spans="1:23">
      <c r="A55" s="104">
        <v>38838</v>
      </c>
      <c r="B55" s="102">
        <v>2.5009999999999999</v>
      </c>
      <c r="C55" s="102">
        <v>3.8940999999999999</v>
      </c>
      <c r="D55" s="102">
        <v>3.0491000000000001</v>
      </c>
      <c r="H55" s="104">
        <v>38838</v>
      </c>
      <c r="I55" s="106">
        <v>1.41E-2</v>
      </c>
      <c r="J55" s="106">
        <v>2.86E-2</v>
      </c>
      <c r="K55" s="107">
        <v>5.1499999999999997E-2</v>
      </c>
      <c r="L55" s="108">
        <v>4.1500000000000002E-2</v>
      </c>
      <c r="Q55" s="104">
        <v>38838</v>
      </c>
      <c r="R55" s="114">
        <v>1.5099999999999995E-2</v>
      </c>
      <c r="V55" s="104">
        <v>38838</v>
      </c>
      <c r="W55" s="110">
        <v>0.81189999999999996</v>
      </c>
    </row>
    <row r="56" spans="1:23">
      <c r="A56" s="104">
        <v>38869</v>
      </c>
      <c r="B56" s="105">
        <v>2.5741999999999998</v>
      </c>
      <c r="C56" s="105">
        <v>4.0164</v>
      </c>
      <c r="D56" s="102">
        <v>3.1713</v>
      </c>
      <c r="H56" s="104">
        <v>38869</v>
      </c>
      <c r="I56" s="106">
        <v>1.4800000000000001E-2</v>
      </c>
      <c r="J56" s="106">
        <v>2.9440000000000001E-2</v>
      </c>
      <c r="K56" s="107">
        <v>5.2699999999999997E-2</v>
      </c>
      <c r="L56" s="108">
        <v>4.1700000000000001E-2</v>
      </c>
      <c r="Q56" s="104">
        <v>38869</v>
      </c>
      <c r="R56" s="114">
        <v>1.5100000000000002E-2</v>
      </c>
      <c r="V56" s="104">
        <v>38869</v>
      </c>
      <c r="W56" s="110">
        <v>0.81740000000000002</v>
      </c>
    </row>
    <row r="57" spans="1:23">
      <c r="A57" s="104">
        <v>38899</v>
      </c>
      <c r="B57" s="102">
        <v>2.5482</v>
      </c>
      <c r="C57" s="102">
        <v>3.9969999999999999</v>
      </c>
      <c r="D57" s="102">
        <v>3.1492</v>
      </c>
      <c r="H57" s="104">
        <v>38899</v>
      </c>
      <c r="I57" s="106">
        <v>1.5299999999999999E-2</v>
      </c>
      <c r="J57" s="106">
        <v>3.0550000000000001E-2</v>
      </c>
      <c r="K57" s="107">
        <v>5.4800000000000001E-2</v>
      </c>
      <c r="L57" s="108">
        <v>4.19E-2</v>
      </c>
      <c r="Q57" s="104">
        <v>38899</v>
      </c>
      <c r="R57" s="114">
        <v>1.5499999999999993E-2</v>
      </c>
      <c r="V57" s="104">
        <v>38899</v>
      </c>
      <c r="W57" s="110">
        <v>0.81740000000000002</v>
      </c>
    </row>
    <row r="58" spans="1:23">
      <c r="A58" s="104">
        <v>38930</v>
      </c>
      <c r="B58" s="105">
        <v>2.4725000000000001</v>
      </c>
      <c r="C58" s="105">
        <v>3.9014000000000002</v>
      </c>
      <c r="D58" s="102">
        <v>3.0453999999999999</v>
      </c>
      <c r="H58" s="104">
        <v>38930</v>
      </c>
      <c r="I58" s="106">
        <v>1.61E-2</v>
      </c>
      <c r="J58" s="106">
        <v>3.1699999999999999E-2</v>
      </c>
      <c r="K58" s="107">
        <v>5.4699999999999999E-2</v>
      </c>
      <c r="L58" s="108">
        <v>4.19E-2</v>
      </c>
      <c r="Q58" s="104">
        <v>38930</v>
      </c>
      <c r="R58" s="114">
        <v>1.5599999999999996E-2</v>
      </c>
      <c r="V58" s="104">
        <v>38930</v>
      </c>
      <c r="W58" s="110">
        <v>0.81189999999999996</v>
      </c>
    </row>
    <row r="59" spans="1:23">
      <c r="A59" s="104">
        <v>38961</v>
      </c>
      <c r="B59" s="102">
        <v>2.5062000000000002</v>
      </c>
      <c r="C59" s="102">
        <v>3.9702000000000002</v>
      </c>
      <c r="D59" s="102">
        <v>3.1153</v>
      </c>
      <c r="H59" s="104">
        <v>38961</v>
      </c>
      <c r="I59" s="106">
        <v>1.67E-2</v>
      </c>
      <c r="J59" s="106">
        <v>3.2669999999999998E-2</v>
      </c>
      <c r="K59" s="107">
        <v>5.3900000000000003E-2</v>
      </c>
      <c r="L59" s="108">
        <v>4.2099999999999999E-2</v>
      </c>
      <c r="Q59" s="104">
        <v>38961</v>
      </c>
      <c r="R59" s="114">
        <v>1.4999999999999999E-2</v>
      </c>
      <c r="V59" s="104">
        <v>38961</v>
      </c>
      <c r="W59" s="110">
        <v>0.80830000000000002</v>
      </c>
    </row>
    <row r="60" spans="1:23">
      <c r="A60" s="104">
        <v>38991</v>
      </c>
      <c r="B60" s="105">
        <v>2.4546999999999999</v>
      </c>
      <c r="C60" s="105">
        <v>3.9026000000000001</v>
      </c>
      <c r="D60" s="102">
        <v>3.0918999999999999</v>
      </c>
      <c r="H60" s="104">
        <v>38991</v>
      </c>
      <c r="I60" s="106">
        <v>1.8100000000000002E-2</v>
      </c>
      <c r="J60" s="106">
        <v>3.424E-2</v>
      </c>
      <c r="K60" s="107">
        <v>5.3699999999999998E-2</v>
      </c>
      <c r="L60" s="108">
        <v>4.2200000000000001E-2</v>
      </c>
      <c r="Q60" s="104">
        <v>38991</v>
      </c>
      <c r="R60" s="114">
        <v>1.4200000000000004E-2</v>
      </c>
      <c r="V60" s="104">
        <v>38991</v>
      </c>
      <c r="W60" s="110">
        <v>0.80649999999999999</v>
      </c>
    </row>
    <row r="61" spans="1:23">
      <c r="A61" s="104">
        <v>39022</v>
      </c>
      <c r="B61" s="105">
        <v>2.4055</v>
      </c>
      <c r="C61" s="105">
        <v>3.8298999999999999</v>
      </c>
      <c r="D61" s="102">
        <v>2.9735</v>
      </c>
      <c r="H61" s="104">
        <v>39022</v>
      </c>
      <c r="I61" s="106">
        <v>1.8100000000000002E-2</v>
      </c>
      <c r="J61" s="106">
        <v>3.5630000000000002E-2</v>
      </c>
      <c r="K61" s="107">
        <v>5.3699999999999998E-2</v>
      </c>
      <c r="L61" s="108">
        <v>4.2000000000000003E-2</v>
      </c>
      <c r="Q61" s="104">
        <v>39022</v>
      </c>
      <c r="R61" s="114">
        <v>1.4399999999999996E-2</v>
      </c>
      <c r="V61" s="104">
        <v>39022</v>
      </c>
      <c r="W61" s="110">
        <v>0.80649999999999999</v>
      </c>
    </row>
    <row r="62" spans="1:23">
      <c r="A62" s="104">
        <v>39052</v>
      </c>
      <c r="B62" s="105">
        <v>2.3874</v>
      </c>
      <c r="C62" s="105">
        <v>3.8130000000000002</v>
      </c>
      <c r="D62" s="102">
        <v>2.8868</v>
      </c>
      <c r="H62" s="104">
        <v>39052</v>
      </c>
      <c r="I62" s="106">
        <v>1.9400000000000001E-2</v>
      </c>
      <c r="J62" s="106">
        <v>3.6380000000000003E-2</v>
      </c>
      <c r="K62" s="107">
        <v>5.3699999999999998E-2</v>
      </c>
      <c r="L62" s="108">
        <v>4.2000000000000003E-2</v>
      </c>
      <c r="Q62" s="104">
        <v>39052</v>
      </c>
      <c r="R62" s="114">
        <v>1.3999999999999999E-2</v>
      </c>
      <c r="V62" s="104">
        <v>39052</v>
      </c>
      <c r="W62" s="110">
        <v>0.81010000000000004</v>
      </c>
    </row>
    <row r="63" spans="1:23">
      <c r="A63" s="104">
        <v>39083</v>
      </c>
      <c r="B63" s="105">
        <v>2.4015</v>
      </c>
      <c r="C63" s="105">
        <v>3.8786999999999998</v>
      </c>
      <c r="D63" s="102">
        <v>2.9836999999999998</v>
      </c>
      <c r="H63" s="104">
        <v>39083</v>
      </c>
      <c r="I63" s="106">
        <v>2.1000000000000001E-2</v>
      </c>
      <c r="J63" s="106">
        <v>3.7249999999999998E-2</v>
      </c>
      <c r="K63" s="107">
        <v>5.3600000000000002E-2</v>
      </c>
      <c r="L63" s="108">
        <v>4.2000000000000003E-2</v>
      </c>
      <c r="Q63" s="104">
        <v>39083</v>
      </c>
      <c r="R63" s="114">
        <v>1.38E-2</v>
      </c>
      <c r="V63" s="104">
        <v>39083</v>
      </c>
      <c r="W63" s="110">
        <v>0.80289999999999995</v>
      </c>
    </row>
    <row r="64" spans="1:23">
      <c r="A64" s="104">
        <v>39114</v>
      </c>
      <c r="B64" s="105">
        <v>2.4018000000000002</v>
      </c>
      <c r="C64" s="105">
        <v>3.8957999999999999</v>
      </c>
      <c r="D64" s="102">
        <v>2.9805000000000001</v>
      </c>
      <c r="H64" s="104">
        <v>39114</v>
      </c>
      <c r="I64" s="106">
        <v>2.1000000000000001E-2</v>
      </c>
      <c r="J64" s="106">
        <v>3.7850000000000002E-2</v>
      </c>
      <c r="K64" s="107">
        <v>5.3600000000000002E-2</v>
      </c>
      <c r="L64" s="108">
        <v>4.2000000000000003E-2</v>
      </c>
      <c r="Q64" s="104">
        <v>39114</v>
      </c>
      <c r="R64" s="114">
        <v>1.3399999999999995E-2</v>
      </c>
      <c r="V64" s="104">
        <v>39114</v>
      </c>
      <c r="W64" s="110">
        <v>0.79749999999999999</v>
      </c>
    </row>
    <row r="65" spans="1:23">
      <c r="A65" s="104">
        <v>39142</v>
      </c>
      <c r="B65" s="105">
        <v>2.4100999999999999</v>
      </c>
      <c r="C65" s="105">
        <v>3.8868999999999998</v>
      </c>
      <c r="D65" s="102">
        <v>2.9359000000000002</v>
      </c>
      <c r="H65" s="104">
        <v>39142</v>
      </c>
      <c r="I65" s="106">
        <v>2.23E-2</v>
      </c>
      <c r="J65" s="106">
        <v>3.8559999999999997E-2</v>
      </c>
      <c r="K65" s="107">
        <v>5.3499999999999999E-2</v>
      </c>
      <c r="L65" s="108">
        <v>4.2200000000000001E-2</v>
      </c>
      <c r="Q65" s="104">
        <v>39142</v>
      </c>
      <c r="R65" s="114">
        <v>1.3600000000000008E-2</v>
      </c>
      <c r="V65" s="104">
        <v>39142</v>
      </c>
      <c r="W65" s="110">
        <v>0.78859999999999997</v>
      </c>
    </row>
    <row r="66" spans="1:23">
      <c r="A66" s="104">
        <v>39173</v>
      </c>
      <c r="B66" s="105">
        <v>2.3331</v>
      </c>
      <c r="C66" s="105">
        <v>3.8191999999999999</v>
      </c>
      <c r="D66" s="102">
        <v>2.8279000000000001</v>
      </c>
      <c r="H66" s="104">
        <v>39173</v>
      </c>
      <c r="I66" s="106">
        <v>2.23E-2</v>
      </c>
      <c r="J66" s="106">
        <v>3.9269999999999999E-2</v>
      </c>
      <c r="K66" s="107">
        <v>5.3499999999999999E-2</v>
      </c>
      <c r="L66" s="108">
        <v>4.3200000000000002E-2</v>
      </c>
      <c r="Q66" s="104">
        <v>39173</v>
      </c>
      <c r="R66" s="114">
        <v>1.4199999999999997E-2</v>
      </c>
      <c r="V66" s="104">
        <v>39173</v>
      </c>
      <c r="W66" s="110">
        <v>0.77969999999999995</v>
      </c>
    </row>
    <row r="67" spans="1:23">
      <c r="A67" s="104">
        <v>39203</v>
      </c>
      <c r="B67" s="102">
        <v>2.2928000000000002</v>
      </c>
      <c r="C67" s="102">
        <v>3.7824</v>
      </c>
      <c r="D67" s="102">
        <v>2.7997000000000001</v>
      </c>
      <c r="H67" s="104">
        <v>39203</v>
      </c>
      <c r="I67" s="106">
        <v>2.35E-2</v>
      </c>
      <c r="J67" s="106">
        <v>4.0230000000000002E-2</v>
      </c>
      <c r="K67" s="107">
        <v>5.3600000000000002E-2</v>
      </c>
      <c r="L67" s="108">
        <v>4.4400000000000002E-2</v>
      </c>
      <c r="Q67" s="104">
        <v>39203</v>
      </c>
      <c r="R67" s="114">
        <v>1.26E-2</v>
      </c>
      <c r="V67" s="104">
        <v>39203</v>
      </c>
      <c r="W67" s="110">
        <v>0.77080000000000004</v>
      </c>
    </row>
    <row r="68" spans="1:23">
      <c r="A68" s="104">
        <v>39234</v>
      </c>
      <c r="B68" s="105">
        <v>2.3022</v>
      </c>
      <c r="C68" s="105">
        <v>3.8079000000000001</v>
      </c>
      <c r="D68" s="102">
        <v>2.8399000000000001</v>
      </c>
      <c r="H68" s="104">
        <v>39234</v>
      </c>
      <c r="I68" s="106">
        <v>2.47E-2</v>
      </c>
      <c r="J68" s="106">
        <v>4.1239999999999999E-2</v>
      </c>
      <c r="K68" s="107">
        <v>5.3600000000000002E-2</v>
      </c>
      <c r="L68" s="108">
        <v>4.5199999999999997E-2</v>
      </c>
      <c r="Q68" s="104">
        <v>39234</v>
      </c>
      <c r="R68" s="114">
        <v>1.3000000000000005E-2</v>
      </c>
      <c r="V68" s="104">
        <v>39234</v>
      </c>
      <c r="W68" s="110">
        <v>0.77080000000000004</v>
      </c>
    </row>
    <row r="69" spans="1:23">
      <c r="A69" s="104">
        <v>39264</v>
      </c>
      <c r="B69" s="102">
        <v>2.2738</v>
      </c>
      <c r="C69" s="102">
        <v>3.7685</v>
      </c>
      <c r="D69" s="102">
        <v>2.75</v>
      </c>
      <c r="H69" s="104">
        <v>39264</v>
      </c>
      <c r="I69" s="106">
        <v>2.7E-2</v>
      </c>
      <c r="J69" s="106">
        <v>4.1759999999999999E-2</v>
      </c>
      <c r="K69" s="107">
        <v>5.3600000000000002E-2</v>
      </c>
      <c r="L69" s="108">
        <v>4.7800000000000002E-2</v>
      </c>
      <c r="Q69" s="104">
        <v>39264</v>
      </c>
      <c r="R69" s="114">
        <v>1.21E-2</v>
      </c>
      <c r="V69" s="104">
        <v>39264</v>
      </c>
      <c r="W69" s="110">
        <v>0.7762</v>
      </c>
    </row>
    <row r="70" spans="1:23">
      <c r="A70" s="104">
        <v>39295</v>
      </c>
      <c r="B70" s="105">
        <v>2.3268</v>
      </c>
      <c r="C70" s="105">
        <v>3.81</v>
      </c>
      <c r="D70" s="102">
        <v>2.7980999999999998</v>
      </c>
      <c r="H70" s="104">
        <v>39295</v>
      </c>
      <c r="I70" s="106">
        <v>2.7E-2</v>
      </c>
      <c r="J70" s="106">
        <v>4.2639999999999997E-2</v>
      </c>
      <c r="K70" s="107">
        <v>5.3600000000000002E-2</v>
      </c>
      <c r="L70" s="108">
        <v>4.9099999999999998E-2</v>
      </c>
      <c r="Q70" s="104">
        <v>39295</v>
      </c>
      <c r="R70" s="114">
        <v>1.369999999999999E-2</v>
      </c>
      <c r="V70" s="104">
        <v>39295</v>
      </c>
      <c r="W70" s="110">
        <v>0.7833</v>
      </c>
    </row>
    <row r="71" spans="1:23">
      <c r="A71" s="104">
        <v>39326</v>
      </c>
      <c r="B71" s="102">
        <v>2.2995000000000001</v>
      </c>
      <c r="C71" s="102">
        <v>3.7898999999999998</v>
      </c>
      <c r="D71" s="102">
        <v>2.7286000000000001</v>
      </c>
      <c r="H71" s="104">
        <v>39326</v>
      </c>
      <c r="I71" s="106">
        <v>2.9000000000000001E-2</v>
      </c>
      <c r="J71" s="106">
        <v>4.7410000000000001E-2</v>
      </c>
      <c r="K71" s="107">
        <v>5.67E-2</v>
      </c>
      <c r="L71" s="108">
        <v>5.0900000000000001E-2</v>
      </c>
      <c r="Q71" s="104">
        <v>39326</v>
      </c>
      <c r="R71" s="114">
        <v>1.2800000000000006E-2</v>
      </c>
      <c r="V71" s="104">
        <v>39326</v>
      </c>
      <c r="W71" s="110">
        <v>0.76910000000000001</v>
      </c>
    </row>
    <row r="72" spans="1:23">
      <c r="A72" s="104">
        <v>39356</v>
      </c>
      <c r="B72" s="105">
        <v>2.2176999999999998</v>
      </c>
      <c r="C72" s="105">
        <v>3.7052</v>
      </c>
      <c r="D72" s="102">
        <v>2.6042000000000001</v>
      </c>
      <c r="H72" s="104">
        <v>39356</v>
      </c>
      <c r="I72" s="106">
        <v>2.7799999999999998E-2</v>
      </c>
      <c r="J72" s="106">
        <v>4.7910000000000001E-2</v>
      </c>
      <c r="K72" s="107">
        <v>5.2299999999999999E-2</v>
      </c>
      <c r="L72" s="108">
        <v>5.1299999999999998E-2</v>
      </c>
      <c r="Q72" s="104">
        <v>39356</v>
      </c>
      <c r="R72" s="114">
        <v>1.4399999999999996E-2</v>
      </c>
      <c r="V72" s="104">
        <v>39356</v>
      </c>
      <c r="W72" s="110">
        <v>0.75860000000000005</v>
      </c>
    </row>
    <row r="73" spans="1:23">
      <c r="A73" s="104">
        <v>39387</v>
      </c>
      <c r="B73" s="105">
        <v>2.2179000000000002</v>
      </c>
      <c r="C73" s="105">
        <v>3.6556000000000002</v>
      </c>
      <c r="D73" s="102">
        <v>2.4914999999999998</v>
      </c>
      <c r="H73" s="104">
        <v>39387</v>
      </c>
      <c r="I73" s="106">
        <v>2.7799999999999998E-2</v>
      </c>
      <c r="J73" s="106">
        <v>4.598E-2</v>
      </c>
      <c r="K73" s="107">
        <v>4.8800000000000003E-2</v>
      </c>
      <c r="L73" s="108">
        <v>5.3600000000000002E-2</v>
      </c>
      <c r="Q73" s="104">
        <v>39387</v>
      </c>
      <c r="R73" s="114">
        <v>1.2900000000000002E-2</v>
      </c>
      <c r="V73" s="104">
        <v>39387</v>
      </c>
      <c r="W73" s="110">
        <v>0.74639999999999995</v>
      </c>
    </row>
    <row r="74" spans="1:23">
      <c r="A74" s="104">
        <v>39417</v>
      </c>
      <c r="B74" s="105">
        <v>2.1720999999999999</v>
      </c>
      <c r="C74" s="105">
        <v>3.6042000000000001</v>
      </c>
      <c r="D74" s="102">
        <v>2.4754</v>
      </c>
      <c r="H74" s="104">
        <v>39417</v>
      </c>
      <c r="I74" s="106">
        <v>2.7799999999999998E-2</v>
      </c>
      <c r="J74" s="106">
        <v>4.8390000000000002E-2</v>
      </c>
      <c r="K74" s="107">
        <v>5.1400000000000001E-2</v>
      </c>
      <c r="L74" s="108">
        <v>5.67E-2</v>
      </c>
      <c r="Q74" s="104">
        <v>39417</v>
      </c>
      <c r="R74" s="114">
        <v>1.1999999999999997E-2</v>
      </c>
      <c r="V74" s="104">
        <v>39417</v>
      </c>
      <c r="W74" s="110">
        <v>0.74109999999999998</v>
      </c>
    </row>
    <row r="75" spans="1:23">
      <c r="A75" s="104">
        <v>39448</v>
      </c>
      <c r="B75" s="102">
        <v>2.2244000000000002</v>
      </c>
      <c r="C75" s="102">
        <v>3.6080000000000001</v>
      </c>
      <c r="D75" s="102">
        <v>2.4537</v>
      </c>
      <c r="H75" s="104">
        <v>39448</v>
      </c>
      <c r="I75" s="106">
        <v>2.7799999999999998E-2</v>
      </c>
      <c r="J75" s="106">
        <v>4.6440000000000002E-2</v>
      </c>
      <c r="K75" s="107">
        <v>4.6800000000000001E-2</v>
      </c>
      <c r="L75" s="108">
        <v>5.6399999999999999E-2</v>
      </c>
      <c r="Q75" s="104">
        <v>39448</v>
      </c>
      <c r="R75" s="114">
        <v>1.3299999999999999E-2</v>
      </c>
      <c r="V75" s="104">
        <v>39448</v>
      </c>
      <c r="W75" s="110">
        <v>0.72899999999999998</v>
      </c>
    </row>
    <row r="76" spans="1:23">
      <c r="A76" s="104">
        <v>39479</v>
      </c>
      <c r="B76" s="102">
        <v>2.2277999999999998</v>
      </c>
      <c r="C76" s="102">
        <v>3.5825</v>
      </c>
      <c r="D76" s="102">
        <v>2.4304999999999999</v>
      </c>
      <c r="H76" s="104">
        <v>39479</v>
      </c>
      <c r="I76" s="106">
        <v>2.6599999999999999E-2</v>
      </c>
      <c r="J76" s="106">
        <v>4.367E-2</v>
      </c>
      <c r="K76" s="107">
        <v>3.1E-2</v>
      </c>
      <c r="L76" s="108">
        <v>5.74E-2</v>
      </c>
      <c r="Q76" s="104">
        <v>39479</v>
      </c>
      <c r="R76" s="114">
        <v>1.4500000000000006E-2</v>
      </c>
      <c r="V76" s="104">
        <v>39479</v>
      </c>
      <c r="W76" s="110">
        <v>0.72209999999999996</v>
      </c>
    </row>
    <row r="77" spans="1:23">
      <c r="A77" s="104">
        <v>39508</v>
      </c>
      <c r="B77" s="102">
        <v>2.2509999999999999</v>
      </c>
      <c r="C77" s="102">
        <v>3.5373999999999999</v>
      </c>
      <c r="D77" s="102">
        <v>2.2816000000000001</v>
      </c>
      <c r="H77" s="104">
        <v>39508</v>
      </c>
      <c r="I77" s="106">
        <v>2.7900000000000001E-2</v>
      </c>
      <c r="J77" s="106">
        <v>4.3830000000000001E-2</v>
      </c>
      <c r="K77" s="107">
        <v>3.0099999999999998E-2</v>
      </c>
      <c r="L77" s="108">
        <v>6.0299999999999999E-2</v>
      </c>
      <c r="Q77" s="104">
        <v>39508</v>
      </c>
      <c r="R77" s="114">
        <v>1.4000000000000005E-2</v>
      </c>
      <c r="V77" s="104">
        <v>39508</v>
      </c>
      <c r="W77" s="110">
        <v>0.71530000000000005</v>
      </c>
    </row>
    <row r="78" spans="1:23">
      <c r="A78" s="104">
        <v>39539</v>
      </c>
      <c r="B78" s="102">
        <v>2.1574</v>
      </c>
      <c r="C78" s="102">
        <v>3.4443999999999999</v>
      </c>
      <c r="D78" s="102">
        <v>2.1852</v>
      </c>
      <c r="H78" s="104">
        <v>39539</v>
      </c>
      <c r="I78" s="106">
        <v>2.8899999999999999E-2</v>
      </c>
      <c r="J78" s="106">
        <v>4.7309999999999998E-2</v>
      </c>
      <c r="K78" s="107">
        <v>2.6800000000000001E-2</v>
      </c>
      <c r="L78" s="108">
        <v>6.2899999999999998E-2</v>
      </c>
      <c r="Q78" s="104">
        <v>39539</v>
      </c>
      <c r="R78" s="114">
        <v>1.4700000000000005E-2</v>
      </c>
      <c r="V78" s="104">
        <v>39539</v>
      </c>
      <c r="W78" s="110">
        <v>0.70840000000000003</v>
      </c>
    </row>
    <row r="79" spans="1:23">
      <c r="A79" s="104">
        <v>39569</v>
      </c>
      <c r="B79" s="102">
        <v>2.0983999999999998</v>
      </c>
      <c r="C79" s="102">
        <v>3.4068999999999998</v>
      </c>
      <c r="D79" s="102">
        <v>2.1903999999999999</v>
      </c>
      <c r="H79" s="104">
        <v>39569</v>
      </c>
      <c r="I79" s="106">
        <v>2.8899999999999999E-2</v>
      </c>
      <c r="J79" s="106">
        <v>4.8550000000000003E-2</v>
      </c>
      <c r="K79" s="107">
        <v>2.7799999999999998E-2</v>
      </c>
      <c r="L79" s="108">
        <v>6.4100000000000004E-2</v>
      </c>
      <c r="Q79" s="104">
        <v>39569</v>
      </c>
      <c r="R79" s="114">
        <v>1.3999999999999999E-2</v>
      </c>
      <c r="V79" s="104">
        <v>39569</v>
      </c>
      <c r="W79" s="110">
        <v>0.69489999999999996</v>
      </c>
    </row>
    <row r="80" spans="1:23">
      <c r="A80" s="104">
        <v>39600</v>
      </c>
      <c r="B80" s="102">
        <v>2.0909</v>
      </c>
      <c r="C80" s="102">
        <v>3.3759999999999999</v>
      </c>
      <c r="D80" s="102">
        <v>2.1694</v>
      </c>
      <c r="H80" s="104">
        <v>39600</v>
      </c>
      <c r="I80" s="106">
        <v>2.7799999999999998E-2</v>
      </c>
      <c r="J80" s="106">
        <v>4.8649999999999999E-2</v>
      </c>
      <c r="K80" s="107">
        <v>2.6800000000000001E-2</v>
      </c>
      <c r="L80" s="108">
        <v>6.5799999999999997E-2</v>
      </c>
      <c r="Q80" s="104">
        <v>39600</v>
      </c>
      <c r="R80" s="114">
        <v>1.4399999999999996E-2</v>
      </c>
      <c r="V80" s="104">
        <v>39600</v>
      </c>
      <c r="W80" s="110">
        <v>0.6915</v>
      </c>
    </row>
    <row r="81" spans="1:23">
      <c r="A81" s="104">
        <v>39630</v>
      </c>
      <c r="B81" s="102">
        <v>2.0139</v>
      </c>
      <c r="C81" s="102">
        <v>3.26</v>
      </c>
      <c r="D81" s="102">
        <v>2.0674000000000001</v>
      </c>
      <c r="H81" s="104">
        <v>39630</v>
      </c>
      <c r="I81" s="106">
        <v>2.7799999999999998E-2</v>
      </c>
      <c r="J81" s="106">
        <v>4.9549999999999997E-2</v>
      </c>
      <c r="K81" s="107">
        <v>2.7900000000000001E-2</v>
      </c>
      <c r="L81" s="108">
        <v>6.6199999999999995E-2</v>
      </c>
      <c r="Q81" s="104">
        <v>39630</v>
      </c>
      <c r="R81" s="114">
        <v>1.7200000000000007E-2</v>
      </c>
      <c r="V81" s="104">
        <v>39630</v>
      </c>
      <c r="W81" s="110">
        <v>0.6915</v>
      </c>
    </row>
    <row r="82" spans="1:23">
      <c r="A82" s="104">
        <v>39661</v>
      </c>
      <c r="B82" s="102">
        <v>2.0278999999999998</v>
      </c>
      <c r="C82" s="102">
        <v>3.2884000000000002</v>
      </c>
      <c r="D82" s="102">
        <v>2.1926000000000001</v>
      </c>
      <c r="H82" s="104">
        <v>39661</v>
      </c>
      <c r="I82" s="106">
        <v>2.7799999999999998E-2</v>
      </c>
      <c r="J82" s="106">
        <v>4.9680000000000002E-2</v>
      </c>
      <c r="K82" s="107">
        <v>2.7900000000000001E-2</v>
      </c>
      <c r="L82" s="108">
        <v>6.5199999999999994E-2</v>
      </c>
      <c r="Q82" s="104">
        <v>39661</v>
      </c>
      <c r="R82" s="114">
        <v>1.9500000000000003E-2</v>
      </c>
      <c r="V82" s="104">
        <v>39661</v>
      </c>
      <c r="W82" s="110">
        <v>0.69830000000000003</v>
      </c>
    </row>
    <row r="83" spans="1:23">
      <c r="A83" s="104">
        <v>39692</v>
      </c>
      <c r="B83" s="102">
        <v>2.1152000000000002</v>
      </c>
      <c r="C83" s="102">
        <v>3.3712</v>
      </c>
      <c r="D83" s="102">
        <v>2.3496999999999999</v>
      </c>
      <c r="H83" s="104">
        <v>39692</v>
      </c>
      <c r="I83" s="106">
        <v>2.7799999999999998E-2</v>
      </c>
      <c r="J83" s="106">
        <v>4.9610000000000001E-2</v>
      </c>
      <c r="K83" s="107">
        <v>2.81E-2</v>
      </c>
      <c r="L83" s="108">
        <v>6.5600000000000006E-2</v>
      </c>
      <c r="Q83" s="104">
        <v>39692</v>
      </c>
      <c r="R83" s="114">
        <v>2.0600000000000007E-2</v>
      </c>
      <c r="V83" s="104">
        <v>39692</v>
      </c>
      <c r="W83" s="110">
        <v>0.69320000000000004</v>
      </c>
    </row>
    <row r="84" spans="1:23">
      <c r="A84" s="104">
        <v>39722</v>
      </c>
      <c r="B84" s="102">
        <v>2.3633999999999999</v>
      </c>
      <c r="C84" s="102">
        <v>3.5855000000000001</v>
      </c>
      <c r="D84" s="102">
        <v>2.698</v>
      </c>
      <c r="H84" s="104">
        <v>39722</v>
      </c>
      <c r="I84" s="106">
        <v>2.93E-2</v>
      </c>
      <c r="J84" s="106">
        <v>5.2909999999999999E-2</v>
      </c>
      <c r="K84" s="107">
        <v>4.1500000000000002E-2</v>
      </c>
      <c r="L84" s="108">
        <v>6.8000000000000005E-2</v>
      </c>
      <c r="Q84" s="104">
        <v>39722</v>
      </c>
      <c r="R84" s="114">
        <v>1.89E-2</v>
      </c>
      <c r="V84" s="104">
        <v>39722</v>
      </c>
      <c r="W84" s="110">
        <v>0.6865</v>
      </c>
    </row>
    <row r="85" spans="1:23">
      <c r="A85" s="104">
        <v>39753</v>
      </c>
      <c r="B85" s="102">
        <v>2.4565999999999999</v>
      </c>
      <c r="C85" s="102">
        <v>3.7206999999999999</v>
      </c>
      <c r="D85" s="102">
        <v>2.9209000000000001</v>
      </c>
      <c r="H85" s="104">
        <v>39753</v>
      </c>
      <c r="I85" s="106">
        <v>2.7699999999999999E-2</v>
      </c>
      <c r="J85" s="106">
        <v>4.7329999999999997E-2</v>
      </c>
      <c r="K85" s="107">
        <v>2.86E-2</v>
      </c>
      <c r="L85" s="108">
        <v>6.7400000000000002E-2</v>
      </c>
      <c r="Q85" s="104">
        <v>39753</v>
      </c>
      <c r="R85" s="114">
        <v>2.1199999999999997E-2</v>
      </c>
      <c r="V85" s="104">
        <v>39753</v>
      </c>
      <c r="W85" s="110">
        <v>0.68310000000000004</v>
      </c>
    </row>
    <row r="86" spans="1:23">
      <c r="A86" s="104">
        <v>39783</v>
      </c>
      <c r="B86" s="102">
        <v>2.6143999999999998</v>
      </c>
      <c r="C86" s="102">
        <v>4.0176999999999996</v>
      </c>
      <c r="D86" s="102">
        <v>2.9714999999999998</v>
      </c>
      <c r="H86" s="104">
        <v>39783</v>
      </c>
      <c r="I86" s="106">
        <v>1.2699999999999999E-2</v>
      </c>
      <c r="J86" s="106">
        <v>3.8159999999999999E-2</v>
      </c>
      <c r="K86" s="107">
        <v>2.2200000000000001E-2</v>
      </c>
      <c r="L86" s="108">
        <v>6.3799999999999996E-2</v>
      </c>
      <c r="Q86" s="104">
        <v>39783</v>
      </c>
      <c r="R86" s="114">
        <v>2.4199999999999999E-2</v>
      </c>
      <c r="V86" s="104">
        <v>39783</v>
      </c>
      <c r="W86" s="110">
        <v>0.68479999999999996</v>
      </c>
    </row>
    <row r="87" spans="1:23">
      <c r="A87" s="104">
        <v>39814</v>
      </c>
      <c r="B87" s="102">
        <v>2.8271999999999999</v>
      </c>
      <c r="C87" s="102">
        <v>4.2180999999999997</v>
      </c>
      <c r="D87" s="102">
        <v>3.1717</v>
      </c>
      <c r="H87" s="104">
        <v>39814</v>
      </c>
      <c r="I87" s="106">
        <v>6.7000000000000002E-3</v>
      </c>
      <c r="J87" s="106">
        <v>2.8590000000000001E-2</v>
      </c>
      <c r="K87" s="107">
        <v>1.41E-2</v>
      </c>
      <c r="L87" s="108">
        <v>5.5100000000000003E-2</v>
      </c>
      <c r="Q87" s="104">
        <v>39814</v>
      </c>
      <c r="R87" s="114">
        <v>3.15E-2</v>
      </c>
      <c r="V87" s="104">
        <v>39814</v>
      </c>
      <c r="W87" s="110">
        <v>0.6764</v>
      </c>
    </row>
    <row r="88" spans="1:23">
      <c r="A88" s="104">
        <v>39845</v>
      </c>
      <c r="B88" s="102">
        <v>3.1131000000000002</v>
      </c>
      <c r="C88" s="102">
        <v>4.6441999999999997</v>
      </c>
      <c r="D88" s="102">
        <v>3.6314000000000002</v>
      </c>
      <c r="H88" s="104">
        <v>39845</v>
      </c>
      <c r="I88" s="106">
        <v>5.3E-3</v>
      </c>
      <c r="J88" s="106">
        <v>2.077E-2</v>
      </c>
      <c r="K88" s="107">
        <v>1.23E-2</v>
      </c>
      <c r="L88" s="108">
        <v>4.6899999999999997E-2</v>
      </c>
      <c r="Q88" s="104">
        <v>39845</v>
      </c>
      <c r="R88" s="114">
        <v>2.8099999999999993E-2</v>
      </c>
      <c r="V88" s="104">
        <v>39845</v>
      </c>
      <c r="W88" s="110">
        <v>0.66149999999999998</v>
      </c>
    </row>
    <row r="89" spans="1:23">
      <c r="A89" s="104">
        <v>39873</v>
      </c>
      <c r="B89" s="102">
        <v>3.0687000000000002</v>
      </c>
      <c r="C89" s="102">
        <v>4.6237000000000004</v>
      </c>
      <c r="D89" s="102">
        <v>3.5411999999999999</v>
      </c>
      <c r="H89" s="104">
        <v>39873</v>
      </c>
      <c r="I89" s="106">
        <v>5.3E-3</v>
      </c>
      <c r="J89" s="106">
        <v>1.8110000000000001E-2</v>
      </c>
      <c r="K89" s="107">
        <v>1.2699999999999999E-2</v>
      </c>
      <c r="L89" s="108">
        <v>4.2999999999999997E-2</v>
      </c>
      <c r="Q89" s="104">
        <v>39873</v>
      </c>
      <c r="R89" s="114">
        <v>2.8800000000000006E-2</v>
      </c>
      <c r="V89" s="104">
        <v>39873</v>
      </c>
      <c r="W89" s="110">
        <v>0.64990000000000003</v>
      </c>
    </row>
    <row r="90" spans="1:23">
      <c r="A90" s="104">
        <v>39904</v>
      </c>
      <c r="B90" s="102">
        <v>2.9129</v>
      </c>
      <c r="C90" s="102">
        <v>4.4192999999999998</v>
      </c>
      <c r="D90" s="102">
        <v>3.3479999999999999</v>
      </c>
      <c r="H90" s="104">
        <v>39904</v>
      </c>
      <c r="I90" s="106">
        <v>4.0000000000000001E-3</v>
      </c>
      <c r="J90" s="106">
        <v>1.498E-2</v>
      </c>
      <c r="K90" s="107">
        <v>1.18E-2</v>
      </c>
      <c r="L90" s="108">
        <v>4.2000000000000003E-2</v>
      </c>
      <c r="Q90" s="104">
        <v>39904</v>
      </c>
      <c r="R90" s="114">
        <v>2.8199999999999996E-2</v>
      </c>
      <c r="V90" s="104">
        <v>39904</v>
      </c>
      <c r="W90" s="110">
        <v>0.63839999999999997</v>
      </c>
    </row>
    <row r="91" spans="1:23">
      <c r="A91" s="104">
        <v>39934</v>
      </c>
      <c r="B91" s="102">
        <v>2.9167999999999998</v>
      </c>
      <c r="C91" s="102">
        <v>4.4104999999999999</v>
      </c>
      <c r="D91" s="102">
        <v>3.2336999999999998</v>
      </c>
      <c r="H91" s="104">
        <v>39934</v>
      </c>
      <c r="I91" s="106">
        <v>4.0000000000000001E-3</v>
      </c>
      <c r="J91" s="106">
        <v>1.354E-2</v>
      </c>
      <c r="K91" s="107">
        <v>1.01E-2</v>
      </c>
      <c r="L91" s="108">
        <v>4.5199999999999997E-2</v>
      </c>
      <c r="Q91" s="104">
        <v>39934</v>
      </c>
      <c r="R91" s="114">
        <v>2.6200000000000008E-2</v>
      </c>
      <c r="V91" s="104">
        <v>39934</v>
      </c>
      <c r="W91" s="110">
        <v>0.63029999999999997</v>
      </c>
    </row>
    <row r="92" spans="1:23">
      <c r="A92" s="104">
        <v>39965</v>
      </c>
      <c r="B92" s="102">
        <v>2.9750999999999999</v>
      </c>
      <c r="C92" s="102">
        <v>4.5080999999999998</v>
      </c>
      <c r="D92" s="102">
        <v>3.2145999999999999</v>
      </c>
      <c r="H92" s="104">
        <v>39965</v>
      </c>
      <c r="I92" s="106">
        <v>4.0000000000000001E-3</v>
      </c>
      <c r="J92" s="106">
        <v>1.2659999999999999E-2</v>
      </c>
      <c r="K92" s="107">
        <v>6.4999999999999997E-3</v>
      </c>
      <c r="L92" s="108">
        <v>4.5999999999999999E-2</v>
      </c>
      <c r="Q92" s="104">
        <v>39965</v>
      </c>
      <c r="R92" s="114">
        <v>2.6300000000000004E-2</v>
      </c>
      <c r="V92" s="104">
        <v>39965</v>
      </c>
      <c r="W92" s="110">
        <v>0.627</v>
      </c>
    </row>
    <row r="93" spans="1:23">
      <c r="A93" s="104">
        <v>39995</v>
      </c>
      <c r="B93" s="102">
        <v>2.8325</v>
      </c>
      <c r="C93" s="102">
        <v>4.3052999999999999</v>
      </c>
      <c r="D93" s="102">
        <v>3.0596000000000001</v>
      </c>
      <c r="H93" s="104">
        <v>39995</v>
      </c>
      <c r="I93" s="106">
        <v>4.0000000000000001E-3</v>
      </c>
      <c r="J93" s="106">
        <v>1.11E-2</v>
      </c>
      <c r="K93" s="106">
        <v>6.0000000000000001E-3</v>
      </c>
      <c r="L93" s="108">
        <v>4.2599999999999999E-2</v>
      </c>
      <c r="Q93" s="104">
        <v>39995</v>
      </c>
      <c r="R93" s="114">
        <v>3.0399999999999996E-2</v>
      </c>
      <c r="V93" s="104">
        <v>39995</v>
      </c>
      <c r="W93" s="110">
        <v>0.62539999999999996</v>
      </c>
    </row>
    <row r="94" spans="1:23">
      <c r="A94" s="104">
        <v>40026</v>
      </c>
      <c r="B94" s="102">
        <v>2.71</v>
      </c>
      <c r="C94" s="102">
        <v>4.1311</v>
      </c>
      <c r="D94" s="102">
        <v>2.8956</v>
      </c>
      <c r="H94" s="104">
        <v>40026</v>
      </c>
      <c r="I94" s="106">
        <v>4.0000000000000001E-3</v>
      </c>
      <c r="J94" s="106">
        <v>8.9999999999999993E-3</v>
      </c>
      <c r="K94" s="106">
        <v>4.7999999999999996E-3</v>
      </c>
      <c r="L94" s="108">
        <v>4.1599999999999998E-2</v>
      </c>
      <c r="Q94" s="104">
        <v>40026</v>
      </c>
      <c r="R94" s="114">
        <v>3.2399999999999998E-2</v>
      </c>
      <c r="V94" s="104">
        <v>40026</v>
      </c>
      <c r="W94" s="110">
        <v>0.63190000000000002</v>
      </c>
    </row>
    <row r="95" spans="1:23">
      <c r="A95" s="104">
        <v>40057</v>
      </c>
      <c r="B95" s="102">
        <v>2.7488000000000001</v>
      </c>
      <c r="C95" s="102">
        <v>4.1635</v>
      </c>
      <c r="D95" s="102">
        <v>2.8595000000000002</v>
      </c>
      <c r="H95" s="104">
        <v>40057</v>
      </c>
      <c r="I95" s="106">
        <v>4.0000000000000001E-3</v>
      </c>
      <c r="J95" s="106">
        <f>J94</f>
        <v>8.9999999999999993E-3</v>
      </c>
      <c r="K95" s="106">
        <v>3.5000000000000001E-3</v>
      </c>
      <c r="L95" s="108">
        <v>4.1799999999999997E-2</v>
      </c>
      <c r="Q95" s="104">
        <v>40057</v>
      </c>
      <c r="R95" s="114">
        <v>3.4200000000000001E-2</v>
      </c>
      <c r="V95" s="104">
        <v>40057</v>
      </c>
      <c r="W95" s="110">
        <v>0.63190000000000002</v>
      </c>
    </row>
    <row r="96" spans="1:23">
      <c r="A96" s="104">
        <v>40087</v>
      </c>
      <c r="B96" s="102">
        <v>2.7850999999999999</v>
      </c>
      <c r="C96" s="102">
        <v>4.2172999999999998</v>
      </c>
      <c r="D96" s="102">
        <v>2.8469000000000002</v>
      </c>
      <c r="H96" s="104">
        <v>40087</v>
      </c>
      <c r="I96" s="106">
        <v>2.8999999999999998E-3</v>
      </c>
      <c r="J96" s="106">
        <v>7.4999999999999997E-3</v>
      </c>
      <c r="K96" s="106">
        <f t="shared" ref="K96:K158" si="0">K95</f>
        <v>3.5000000000000001E-3</v>
      </c>
      <c r="L96" s="108">
        <v>4.1799999999999997E-2</v>
      </c>
      <c r="Q96" s="104">
        <v>40087</v>
      </c>
      <c r="R96" s="114">
        <v>3.110000000000001E-2</v>
      </c>
      <c r="V96" s="104">
        <v>40087</v>
      </c>
      <c r="W96" s="110">
        <v>0.63029999999999997</v>
      </c>
    </row>
    <row r="97" spans="1:23">
      <c r="A97" s="104">
        <v>40118</v>
      </c>
      <c r="B97" s="102">
        <v>2.7627999999999999</v>
      </c>
      <c r="C97" s="102">
        <v>4.1734</v>
      </c>
      <c r="D97" s="102">
        <v>2.7989999999999999</v>
      </c>
      <c r="H97" s="104">
        <v>40118</v>
      </c>
      <c r="I97" s="106">
        <v>2.8999999999999998E-3</v>
      </c>
      <c r="J97" s="106">
        <f t="shared" ref="J97:J159" si="1">J96</f>
        <v>7.4999999999999997E-3</v>
      </c>
      <c r="K97" s="106">
        <f t="shared" si="0"/>
        <v>3.5000000000000001E-3</v>
      </c>
      <c r="L97" s="108">
        <v>4.19E-2</v>
      </c>
      <c r="Q97" s="104">
        <v>40118</v>
      </c>
      <c r="R97" s="114">
        <v>2.9099999999999987E-2</v>
      </c>
      <c r="V97" s="104">
        <v>40118</v>
      </c>
      <c r="W97" s="110">
        <v>0.62539999999999996</v>
      </c>
    </row>
    <row r="98" spans="1:23">
      <c r="A98" s="104">
        <v>40148</v>
      </c>
      <c r="B98" s="102">
        <v>2.7584</v>
      </c>
      <c r="C98" s="102">
        <v>4.1426999999999996</v>
      </c>
      <c r="D98" s="102">
        <v>2.8351999999999999</v>
      </c>
      <c r="H98" s="104">
        <v>40148</v>
      </c>
      <c r="I98" s="106">
        <v>2.8999999999999998E-3</v>
      </c>
      <c r="J98" s="106">
        <f t="shared" si="1"/>
        <v>7.4999999999999997E-3</v>
      </c>
      <c r="K98" s="106">
        <f t="shared" si="0"/>
        <v>3.5000000000000001E-3</v>
      </c>
      <c r="L98" s="108">
        <v>4.2299999999999997E-2</v>
      </c>
      <c r="Q98" s="104">
        <v>40148</v>
      </c>
      <c r="R98" s="114">
        <v>2.7799999999999991E-2</v>
      </c>
      <c r="V98" s="104">
        <v>40148</v>
      </c>
      <c r="W98" s="110">
        <v>0.62539999999999996</v>
      </c>
    </row>
    <row r="99" spans="1:23">
      <c r="A99" s="104">
        <v>40179</v>
      </c>
      <c r="B99" s="102">
        <v>2.7572999999999999</v>
      </c>
      <c r="C99" s="102">
        <v>4.0720000000000001</v>
      </c>
      <c r="D99" s="102">
        <v>2.8517999999999999</v>
      </c>
      <c r="H99" s="104">
        <v>40179</v>
      </c>
      <c r="I99" s="106">
        <v>2.8999999999999998E-3</v>
      </c>
      <c r="J99" s="106">
        <f t="shared" si="1"/>
        <v>7.4999999999999997E-3</v>
      </c>
      <c r="K99" s="106">
        <v>2.5000000000000001E-3</v>
      </c>
      <c r="L99" s="108">
        <v>4.24E-2</v>
      </c>
      <c r="Q99" s="104">
        <v>40179</v>
      </c>
      <c r="R99" s="114">
        <v>2.7799999999999998E-2</v>
      </c>
      <c r="V99" s="104">
        <v>40179</v>
      </c>
      <c r="W99" s="110">
        <v>0.61570000000000003</v>
      </c>
    </row>
    <row r="100" spans="1:23">
      <c r="A100" s="104">
        <v>40210</v>
      </c>
      <c r="B100" s="102">
        <v>2.7370999999999999</v>
      </c>
      <c r="C100" s="102">
        <v>4.0155000000000003</v>
      </c>
      <c r="D100" s="102">
        <v>2.9384999999999999</v>
      </c>
      <c r="H100" s="104">
        <v>40210</v>
      </c>
      <c r="I100" s="106">
        <v>2.8999999999999998E-3</v>
      </c>
      <c r="J100" s="106">
        <f t="shared" si="1"/>
        <v>7.4999999999999997E-3</v>
      </c>
      <c r="K100" s="106">
        <f t="shared" si="0"/>
        <v>2.5000000000000001E-3</v>
      </c>
      <c r="L100" s="108">
        <v>4.1700000000000001E-2</v>
      </c>
      <c r="Q100" s="104">
        <v>40210</v>
      </c>
      <c r="R100" s="114">
        <v>2.8200000000000003E-2</v>
      </c>
      <c r="V100" s="104">
        <v>40210</v>
      </c>
      <c r="W100" s="110">
        <v>0.61250000000000004</v>
      </c>
    </row>
    <row r="101" spans="1:23">
      <c r="A101" s="104">
        <v>40238</v>
      </c>
      <c r="B101" s="102">
        <v>2.6884999999999999</v>
      </c>
      <c r="C101" s="102">
        <v>3.8919000000000001</v>
      </c>
      <c r="D101" s="102">
        <v>2.8672</v>
      </c>
      <c r="H101" s="104">
        <v>40238</v>
      </c>
      <c r="I101" s="106">
        <v>2.8999999999999998E-3</v>
      </c>
      <c r="J101" s="106">
        <f t="shared" si="1"/>
        <v>7.4999999999999997E-3</v>
      </c>
      <c r="K101" s="106">
        <f t="shared" si="0"/>
        <v>2.5000000000000001E-3</v>
      </c>
      <c r="L101" s="108">
        <v>4.1300000000000003E-2</v>
      </c>
      <c r="Q101" s="104">
        <v>40238</v>
      </c>
      <c r="R101" s="114">
        <v>3.0100000000000009E-2</v>
      </c>
      <c r="V101" s="104">
        <v>40238</v>
      </c>
      <c r="W101" s="110">
        <v>0.60770000000000002</v>
      </c>
    </row>
    <row r="102" spans="1:23">
      <c r="A102" s="104">
        <v>40269</v>
      </c>
      <c r="B102" s="102">
        <v>2.6997</v>
      </c>
      <c r="C102" s="102">
        <v>3.8704000000000001</v>
      </c>
      <c r="D102" s="102">
        <v>2.8799000000000001</v>
      </c>
      <c r="H102" s="104">
        <v>40269</v>
      </c>
      <c r="I102" s="106">
        <v>2.8999999999999998E-3</v>
      </c>
      <c r="J102" s="106">
        <v>6.4000000000000003E-3</v>
      </c>
      <c r="K102" s="106">
        <f t="shared" si="0"/>
        <v>2.5000000000000001E-3</v>
      </c>
      <c r="L102" s="108">
        <v>3.9199999999999999E-2</v>
      </c>
      <c r="Q102" s="104">
        <v>40269</v>
      </c>
      <c r="R102" s="114">
        <v>3.0700000000000005E-2</v>
      </c>
      <c r="V102" s="104">
        <v>40269</v>
      </c>
      <c r="W102" s="110">
        <v>0.60129999999999995</v>
      </c>
    </row>
    <row r="103" spans="1:23">
      <c r="A103" s="104">
        <v>40299</v>
      </c>
      <c r="B103" s="102">
        <v>2.8504</v>
      </c>
      <c r="C103" s="102">
        <v>4.0521000000000003</v>
      </c>
      <c r="D103" s="102">
        <v>3.2136999999999998</v>
      </c>
      <c r="H103" s="104">
        <v>40299</v>
      </c>
      <c r="I103" s="106">
        <v>2.8999999999999998E-3</v>
      </c>
      <c r="J103" s="106">
        <f t="shared" si="1"/>
        <v>6.4000000000000003E-3</v>
      </c>
      <c r="K103" s="106">
        <f t="shared" si="0"/>
        <v>2.5000000000000001E-3</v>
      </c>
      <c r="L103" s="108">
        <v>3.85E-2</v>
      </c>
      <c r="Q103" s="104">
        <v>40299</v>
      </c>
      <c r="R103" s="114">
        <v>2.8799999999999999E-2</v>
      </c>
      <c r="V103" s="104">
        <v>40299</v>
      </c>
      <c r="W103" s="110">
        <v>0.59650000000000003</v>
      </c>
    </row>
    <row r="104" spans="1:23">
      <c r="A104" s="104">
        <v>40330</v>
      </c>
      <c r="B104" s="102">
        <v>2.9777999999999998</v>
      </c>
      <c r="C104" s="102">
        <v>4.1025</v>
      </c>
      <c r="D104" s="102">
        <v>3.3571</v>
      </c>
      <c r="H104" s="104">
        <v>40330</v>
      </c>
      <c r="I104" s="106">
        <v>1.1000000000000001E-3</v>
      </c>
      <c r="J104" s="106">
        <f t="shared" si="1"/>
        <v>6.4000000000000003E-3</v>
      </c>
      <c r="K104" s="106">
        <v>5.4000000000000003E-3</v>
      </c>
      <c r="L104" s="108">
        <v>3.8600000000000002E-2</v>
      </c>
      <c r="Q104" s="104">
        <v>40330</v>
      </c>
      <c r="R104" s="114">
        <v>2.8500000000000011E-2</v>
      </c>
      <c r="V104" s="104">
        <v>40330</v>
      </c>
      <c r="W104" s="110">
        <v>0.5917</v>
      </c>
    </row>
    <row r="105" spans="1:23">
      <c r="A105" s="104">
        <v>40360</v>
      </c>
      <c r="B105" s="102">
        <v>3.0308000000000002</v>
      </c>
      <c r="C105" s="102">
        <v>4.0818000000000003</v>
      </c>
      <c r="D105" s="102">
        <v>3.1949999999999998</v>
      </c>
      <c r="H105" s="104">
        <v>40360</v>
      </c>
      <c r="I105" s="106">
        <v>1.1000000000000001E-3</v>
      </c>
      <c r="J105" s="106">
        <v>7.6E-3</v>
      </c>
      <c r="K105" s="106">
        <f t="shared" si="0"/>
        <v>5.4000000000000003E-3</v>
      </c>
      <c r="L105" s="108">
        <v>3.8399999999999997E-2</v>
      </c>
      <c r="Q105" s="104">
        <v>40360</v>
      </c>
      <c r="R105" s="114">
        <v>2.7799999999999998E-2</v>
      </c>
      <c r="V105" s="104">
        <v>40360</v>
      </c>
      <c r="W105" s="110">
        <v>0.59489999999999998</v>
      </c>
    </row>
    <row r="106" spans="1:23">
      <c r="A106" s="104">
        <v>40391</v>
      </c>
      <c r="B106" s="102">
        <v>2.9725000000000001</v>
      </c>
      <c r="C106" s="102">
        <v>3.9872000000000001</v>
      </c>
      <c r="D106" s="102">
        <v>3.0893999999999999</v>
      </c>
      <c r="H106" s="104">
        <v>40391</v>
      </c>
      <c r="I106" s="106">
        <v>1.1000000000000001E-3</v>
      </c>
      <c r="J106" s="106">
        <v>8.9999999999999993E-3</v>
      </c>
      <c r="K106" s="106">
        <f t="shared" si="0"/>
        <v>5.4000000000000003E-3</v>
      </c>
      <c r="L106" s="108">
        <v>3.8100000000000002E-2</v>
      </c>
      <c r="Q106" s="104">
        <v>40391</v>
      </c>
      <c r="R106" s="114">
        <v>2.6099999999999991E-2</v>
      </c>
      <c r="V106" s="104">
        <v>40391</v>
      </c>
      <c r="W106" s="110">
        <v>0.60129999999999995</v>
      </c>
    </row>
    <row r="107" spans="1:23">
      <c r="A107" s="104">
        <v>40422</v>
      </c>
      <c r="B107" s="102">
        <v>3.0196000000000001</v>
      </c>
      <c r="C107" s="102">
        <v>3.9558</v>
      </c>
      <c r="D107" s="102">
        <v>3.0318000000000001</v>
      </c>
      <c r="H107" s="104">
        <v>40422</v>
      </c>
      <c r="I107" s="106">
        <v>1.1000000000000001E-3</v>
      </c>
      <c r="J107" s="106">
        <f t="shared" si="1"/>
        <v>8.9999999999999993E-3</v>
      </c>
      <c r="K107" s="106">
        <v>3.0000000000000001E-3</v>
      </c>
      <c r="L107" s="108">
        <v>3.8199999999999998E-2</v>
      </c>
      <c r="Q107" s="104">
        <v>40422</v>
      </c>
      <c r="R107" s="114">
        <v>2.5800000000000003E-2</v>
      </c>
      <c r="V107" s="104">
        <v>40422</v>
      </c>
      <c r="W107" s="110">
        <v>0.59179999999999999</v>
      </c>
    </row>
    <row r="108" spans="1:23">
      <c r="A108" s="104">
        <v>40452</v>
      </c>
      <c r="B108" s="102">
        <v>2.9358</v>
      </c>
      <c r="C108" s="102">
        <v>3.9561999999999999</v>
      </c>
      <c r="D108" s="102">
        <v>2.8481999999999998</v>
      </c>
      <c r="H108" s="104">
        <v>40452</v>
      </c>
      <c r="I108" s="106">
        <v>1.1000000000000001E-3</v>
      </c>
      <c r="J108" s="106">
        <f t="shared" si="1"/>
        <v>8.9999999999999993E-3</v>
      </c>
      <c r="K108" s="106">
        <f t="shared" si="0"/>
        <v>3.0000000000000001E-3</v>
      </c>
      <c r="L108" s="108">
        <v>3.8300000000000001E-2</v>
      </c>
      <c r="Q108" s="104">
        <v>40452</v>
      </c>
      <c r="R108" s="114">
        <v>2.5800000000000003E-2</v>
      </c>
      <c r="V108" s="104">
        <v>40452</v>
      </c>
      <c r="W108" s="110">
        <v>0.58379999999999999</v>
      </c>
    </row>
    <row r="109" spans="1:23">
      <c r="A109" s="104">
        <v>40483</v>
      </c>
      <c r="B109" s="102">
        <v>2.9432</v>
      </c>
      <c r="C109" s="102">
        <v>3.9531000000000001</v>
      </c>
      <c r="D109" s="102">
        <v>2.8913000000000002</v>
      </c>
      <c r="H109" s="104">
        <v>40483</v>
      </c>
      <c r="I109" s="106">
        <v>1.1000000000000001E-3</v>
      </c>
      <c r="J109" s="106">
        <v>1.0500000000000001E-2</v>
      </c>
      <c r="K109" s="106">
        <f t="shared" si="0"/>
        <v>3.0000000000000001E-3</v>
      </c>
      <c r="L109" s="108">
        <v>3.8600000000000002E-2</v>
      </c>
      <c r="Q109" s="104">
        <v>40483</v>
      </c>
      <c r="R109" s="114">
        <v>2.3900000000000005E-2</v>
      </c>
      <c r="V109" s="104">
        <v>40483</v>
      </c>
      <c r="W109" s="110">
        <v>0.58230000000000004</v>
      </c>
    </row>
    <row r="110" spans="1:23">
      <c r="A110" s="104">
        <v>40513</v>
      </c>
      <c r="B110" s="102">
        <v>3.1154999999999999</v>
      </c>
      <c r="C110" s="102">
        <v>3.9958999999999998</v>
      </c>
      <c r="D110" s="102">
        <v>3.0196999999999998</v>
      </c>
      <c r="H110" s="104">
        <v>40513</v>
      </c>
      <c r="I110" s="106">
        <v>1.1000000000000001E-3</v>
      </c>
      <c r="J110" s="106">
        <f t="shared" si="1"/>
        <v>1.0500000000000001E-2</v>
      </c>
      <c r="K110" s="106">
        <f t="shared" si="0"/>
        <v>3.0000000000000001E-3</v>
      </c>
      <c r="L110" s="108">
        <v>3.9199999999999999E-2</v>
      </c>
      <c r="Q110" s="104">
        <v>40513</v>
      </c>
      <c r="R110" s="114">
        <v>2.2699999999999998E-2</v>
      </c>
      <c r="V110" s="104">
        <v>40513</v>
      </c>
      <c r="W110" s="110">
        <v>0.57599999999999996</v>
      </c>
    </row>
    <row r="111" spans="1:23">
      <c r="A111" s="104">
        <v>40544</v>
      </c>
      <c r="B111" s="102">
        <v>3.0503</v>
      </c>
      <c r="C111" s="102">
        <v>3.8969</v>
      </c>
      <c r="D111" s="102">
        <v>2.9148000000000001</v>
      </c>
      <c r="H111" s="104">
        <v>40544</v>
      </c>
      <c r="I111" s="106">
        <v>1.1000000000000001E-3</v>
      </c>
      <c r="J111" s="106">
        <f t="shared" si="1"/>
        <v>1.0500000000000001E-2</v>
      </c>
      <c r="K111" s="106">
        <f t="shared" si="0"/>
        <v>3.0000000000000001E-3</v>
      </c>
      <c r="L111" s="108">
        <v>4.0099999999999997E-2</v>
      </c>
      <c r="Q111" s="104">
        <v>40544</v>
      </c>
      <c r="R111" s="114">
        <v>2.0700000000000003E-2</v>
      </c>
      <c r="V111" s="104">
        <v>40544</v>
      </c>
      <c r="W111" s="110">
        <v>0.55730000000000002</v>
      </c>
    </row>
    <row r="112" spans="1:23">
      <c r="A112" s="104">
        <v>40575</v>
      </c>
      <c r="B112" s="102">
        <v>3.0312000000000001</v>
      </c>
      <c r="C112" s="102">
        <v>3.9285999999999999</v>
      </c>
      <c r="D112" s="102">
        <v>2.8786999999999998</v>
      </c>
      <c r="H112" s="104">
        <v>40575</v>
      </c>
      <c r="I112" s="106">
        <v>1.1000000000000001E-3</v>
      </c>
      <c r="J112" s="106">
        <f t="shared" si="1"/>
        <v>1.0500000000000001E-2</v>
      </c>
      <c r="K112" s="106">
        <f t="shared" si="0"/>
        <v>3.0000000000000001E-3</v>
      </c>
      <c r="L112" s="108">
        <v>4.1099999999999998E-2</v>
      </c>
      <c r="Q112" s="104">
        <v>40575</v>
      </c>
      <c r="R112" s="114">
        <v>2.1099999999999994E-2</v>
      </c>
      <c r="V112" s="104">
        <v>40575</v>
      </c>
      <c r="W112" s="110">
        <v>0.55420000000000003</v>
      </c>
    </row>
    <row r="113" spans="1:23">
      <c r="A113" s="104">
        <v>40603</v>
      </c>
      <c r="B113" s="102">
        <v>3.1187999999999998</v>
      </c>
      <c r="C113" s="102">
        <v>4.0174000000000003</v>
      </c>
      <c r="D113" s="102">
        <v>2.8687999999999998</v>
      </c>
      <c r="H113" s="104">
        <v>40603</v>
      </c>
      <c r="I113" s="106">
        <v>1.1000000000000001E-3</v>
      </c>
      <c r="J113" s="106">
        <f t="shared" si="1"/>
        <v>1.0500000000000001E-2</v>
      </c>
      <c r="K113" s="106">
        <f t="shared" si="0"/>
        <v>3.0000000000000001E-3</v>
      </c>
      <c r="L113" s="108">
        <v>4.1799999999999997E-2</v>
      </c>
      <c r="Q113" s="104">
        <v>40603</v>
      </c>
      <c r="R113" s="114">
        <v>2.1999999999999999E-2</v>
      </c>
      <c r="V113" s="104">
        <v>40603</v>
      </c>
      <c r="W113" s="110">
        <v>0.5403</v>
      </c>
    </row>
    <row r="114" spans="1:23">
      <c r="A114" s="104">
        <v>40634</v>
      </c>
      <c r="B114" s="102">
        <v>3.0592000000000001</v>
      </c>
      <c r="C114" s="102">
        <v>3.9706000000000001</v>
      </c>
      <c r="D114" s="102">
        <v>2.7467000000000001</v>
      </c>
      <c r="H114" s="104">
        <v>40634</v>
      </c>
      <c r="I114" s="106">
        <v>1.1000000000000001E-3</v>
      </c>
      <c r="J114" s="106">
        <v>1.23E-2</v>
      </c>
      <c r="K114" s="106">
        <f t="shared" si="0"/>
        <v>3.0000000000000001E-3</v>
      </c>
      <c r="L114" s="108">
        <v>4.2700000000000002E-2</v>
      </c>
      <c r="Q114" s="104">
        <v>40634</v>
      </c>
      <c r="R114" s="114">
        <v>2.1000000000000012E-2</v>
      </c>
      <c r="V114" s="104">
        <v>40634</v>
      </c>
      <c r="W114" s="110">
        <v>0.53259999999999996</v>
      </c>
    </row>
    <row r="115" spans="1:23">
      <c r="A115" s="104">
        <v>40664</v>
      </c>
      <c r="B115" s="102">
        <v>3.14</v>
      </c>
      <c r="C115" s="102">
        <v>3.9394999999999998</v>
      </c>
      <c r="D115" s="102">
        <v>2.7418999999999998</v>
      </c>
      <c r="H115" s="104">
        <v>40664</v>
      </c>
      <c r="I115" s="106">
        <v>1.1000000000000001E-3</v>
      </c>
      <c r="J115" s="106">
        <v>1.38E-2</v>
      </c>
      <c r="K115" s="106">
        <f t="shared" si="0"/>
        <v>3.0000000000000001E-3</v>
      </c>
      <c r="L115" s="108">
        <v>4.3999999999999997E-2</v>
      </c>
      <c r="Q115" s="104">
        <v>40664</v>
      </c>
      <c r="R115" s="114">
        <v>2.0899999999999995E-2</v>
      </c>
      <c r="V115" s="104">
        <v>40664</v>
      </c>
      <c r="W115" s="110">
        <v>0.52349999999999997</v>
      </c>
    </row>
    <row r="116" spans="1:23">
      <c r="A116" s="104">
        <v>40695</v>
      </c>
      <c r="B116" s="102">
        <v>3.2799</v>
      </c>
      <c r="C116" s="102">
        <v>3.9695</v>
      </c>
      <c r="D116" s="102">
        <v>2.7585999999999999</v>
      </c>
      <c r="H116" s="104">
        <v>40695</v>
      </c>
      <c r="I116" s="106">
        <v>1.1000000000000001E-3</v>
      </c>
      <c r="J116" s="106">
        <f t="shared" si="1"/>
        <v>1.38E-2</v>
      </c>
      <c r="K116" s="106">
        <f t="shared" si="0"/>
        <v>3.0000000000000001E-3</v>
      </c>
      <c r="L116" s="108">
        <v>4.6100000000000002E-2</v>
      </c>
      <c r="Q116" s="104">
        <v>40695</v>
      </c>
      <c r="R116" s="114">
        <v>1.9900000000000001E-2</v>
      </c>
      <c r="V116" s="104">
        <v>40695</v>
      </c>
      <c r="W116" s="110">
        <v>0.52959999999999996</v>
      </c>
    </row>
    <row r="117" spans="1:23">
      <c r="A117" s="104">
        <v>40725</v>
      </c>
      <c r="B117" s="102">
        <v>3.3824000000000001</v>
      </c>
      <c r="C117" s="102">
        <v>3.9906999999999999</v>
      </c>
      <c r="D117" s="102">
        <v>2.7911000000000001</v>
      </c>
      <c r="H117" s="104">
        <v>40725</v>
      </c>
      <c r="I117" s="106">
        <v>1.1000000000000001E-3</v>
      </c>
      <c r="J117" s="106">
        <v>1.54E-2</v>
      </c>
      <c r="K117" s="106">
        <f t="shared" si="0"/>
        <v>3.0000000000000001E-3</v>
      </c>
      <c r="L117" s="108">
        <v>4.7E-2</v>
      </c>
      <c r="Q117" s="104">
        <v>40725</v>
      </c>
      <c r="R117" s="114">
        <v>2.0699999999999996E-2</v>
      </c>
      <c r="V117" s="104">
        <v>40725</v>
      </c>
      <c r="W117" s="110">
        <v>0.53420000000000001</v>
      </c>
    </row>
    <row r="118" spans="1:23">
      <c r="A118" s="104">
        <v>40756</v>
      </c>
      <c r="B118" s="102">
        <v>3.6894</v>
      </c>
      <c r="C118" s="102">
        <v>4.1231999999999998</v>
      </c>
      <c r="D118" s="102">
        <v>2.8769999999999998</v>
      </c>
      <c r="H118" s="104">
        <v>40756</v>
      </c>
      <c r="I118" s="106">
        <v>1.1000000000000001E-3</v>
      </c>
      <c r="J118" s="106">
        <f t="shared" si="1"/>
        <v>1.54E-2</v>
      </c>
      <c r="K118" s="106">
        <f t="shared" si="0"/>
        <v>3.0000000000000001E-3</v>
      </c>
      <c r="L118" s="108">
        <v>4.7199999999999999E-2</v>
      </c>
      <c r="Q118" s="104">
        <v>40756</v>
      </c>
      <c r="R118" s="114">
        <v>1.9900000000000008E-2</v>
      </c>
      <c r="V118" s="104">
        <v>40756</v>
      </c>
      <c r="W118" s="110">
        <v>0.53420000000000001</v>
      </c>
    </row>
    <row r="119" spans="1:23">
      <c r="A119" s="104">
        <v>40787</v>
      </c>
      <c r="B119" s="102">
        <v>3.6193</v>
      </c>
      <c r="C119" s="102">
        <v>4.3331999999999997</v>
      </c>
      <c r="D119" s="102">
        <v>3.1429</v>
      </c>
      <c r="H119" s="104">
        <v>40787</v>
      </c>
      <c r="I119" s="106">
        <v>1E-4</v>
      </c>
      <c r="J119" s="106">
        <f t="shared" si="1"/>
        <v>1.54E-2</v>
      </c>
      <c r="K119" s="106">
        <f t="shared" si="0"/>
        <v>3.0000000000000001E-3</v>
      </c>
      <c r="L119" s="108">
        <v>4.7500000000000001E-2</v>
      </c>
      <c r="Q119" s="104">
        <v>40787</v>
      </c>
      <c r="R119" s="114">
        <v>1.9900000000000001E-2</v>
      </c>
      <c r="V119" s="104">
        <v>40787</v>
      </c>
      <c r="W119" s="110">
        <v>0.53269999999999995</v>
      </c>
    </row>
    <row r="120" spans="1:23">
      <c r="A120" s="104">
        <v>40817</v>
      </c>
      <c r="B120" s="102">
        <v>3.5440999999999998</v>
      </c>
      <c r="C120" s="102">
        <v>4.3562000000000003</v>
      </c>
      <c r="D120" s="102">
        <v>3.1768999999999998</v>
      </c>
      <c r="H120" s="104">
        <v>40817</v>
      </c>
      <c r="I120" s="106">
        <v>1E-4</v>
      </c>
      <c r="J120" s="106">
        <f t="shared" si="1"/>
        <v>1.54E-2</v>
      </c>
      <c r="K120" s="106">
        <f t="shared" si="0"/>
        <v>3.0000000000000001E-3</v>
      </c>
      <c r="L120" s="108">
        <v>4.8000000000000001E-2</v>
      </c>
      <c r="Q120" s="104">
        <v>40817</v>
      </c>
      <c r="R120" s="114">
        <v>2.0099999999999993E-2</v>
      </c>
      <c r="V120" s="104">
        <v>40817</v>
      </c>
      <c r="W120" s="110">
        <v>0.52200000000000002</v>
      </c>
    </row>
    <row r="121" spans="1:23">
      <c r="A121" s="104">
        <v>40848</v>
      </c>
      <c r="B121" s="102">
        <v>3.5933999999999999</v>
      </c>
      <c r="C121" s="102">
        <v>4.4238999999999997</v>
      </c>
      <c r="D121" s="102">
        <v>3.2608999999999999</v>
      </c>
      <c r="H121" s="104">
        <v>40848</v>
      </c>
      <c r="I121" s="106">
        <v>1E-4</v>
      </c>
      <c r="J121" s="106">
        <f t="shared" si="1"/>
        <v>1.54E-2</v>
      </c>
      <c r="K121" s="106">
        <v>4.3E-3</v>
      </c>
      <c r="L121" s="108">
        <v>4.9399999999999999E-2</v>
      </c>
      <c r="Q121" s="104">
        <v>40848</v>
      </c>
      <c r="R121" s="114">
        <v>1.9199999999999988E-2</v>
      </c>
      <c r="V121" s="104">
        <v>40848</v>
      </c>
      <c r="W121" s="110">
        <v>0.51139999999999997</v>
      </c>
    </row>
    <row r="122" spans="1:23">
      <c r="A122" s="104">
        <v>40878</v>
      </c>
      <c r="B122" s="102">
        <v>3.6467999999999998</v>
      </c>
      <c r="C122" s="102">
        <v>4.4766000000000004</v>
      </c>
      <c r="D122" s="102">
        <v>3.3959000000000001</v>
      </c>
      <c r="H122" s="104">
        <v>40878</v>
      </c>
      <c r="I122" s="106">
        <v>1E-4</v>
      </c>
      <c r="J122" s="106">
        <f t="shared" si="1"/>
        <v>1.54E-2</v>
      </c>
      <c r="K122" s="106">
        <v>5.3E-3</v>
      </c>
      <c r="L122" s="108">
        <v>4.9799999999999997E-2</v>
      </c>
      <c r="Q122" s="104">
        <v>40878</v>
      </c>
      <c r="R122" s="114">
        <v>1.9700000000000002E-2</v>
      </c>
      <c r="V122" s="104">
        <v>40878</v>
      </c>
      <c r="W122" s="110">
        <v>0.50539999999999996</v>
      </c>
    </row>
    <row r="123" spans="1:23">
      <c r="A123" s="104">
        <v>40909</v>
      </c>
      <c r="B123" s="102">
        <v>3.6135000000000002</v>
      </c>
      <c r="C123" s="102">
        <v>4.3775000000000004</v>
      </c>
      <c r="D123" s="102">
        <v>3.3883999999999999</v>
      </c>
      <c r="H123" s="104">
        <v>40909</v>
      </c>
      <c r="I123" s="106">
        <v>1E-4</v>
      </c>
      <c r="J123" s="106">
        <v>1.37E-2</v>
      </c>
      <c r="K123" s="106">
        <f t="shared" si="0"/>
        <v>5.3E-3</v>
      </c>
      <c r="L123" s="108">
        <v>4.99E-2</v>
      </c>
      <c r="Q123" s="104">
        <v>40909</v>
      </c>
      <c r="R123" s="114">
        <v>1.9400000000000001E-2</v>
      </c>
      <c r="V123" s="104">
        <v>40909</v>
      </c>
      <c r="W123" s="110">
        <v>0.495</v>
      </c>
    </row>
    <row r="124" spans="1:23">
      <c r="A124" s="104">
        <v>40940</v>
      </c>
      <c r="B124" s="102">
        <v>3.4660000000000002</v>
      </c>
      <c r="C124" s="102">
        <v>4.1840000000000002</v>
      </c>
      <c r="D124" s="102">
        <v>3.1608000000000001</v>
      </c>
      <c r="H124" s="104">
        <v>40940</v>
      </c>
      <c r="I124" s="106">
        <v>1E-4</v>
      </c>
      <c r="J124" s="106">
        <v>1.1299999999999999E-2</v>
      </c>
      <c r="K124" s="106">
        <f t="shared" si="0"/>
        <v>5.3E-3</v>
      </c>
      <c r="L124" s="108">
        <v>4.9700000000000001E-2</v>
      </c>
      <c r="Q124" s="104">
        <v>40940</v>
      </c>
      <c r="R124" s="114">
        <v>2.0300000000000012E-2</v>
      </c>
      <c r="V124" s="104">
        <v>40940</v>
      </c>
      <c r="W124" s="110">
        <v>0.48899999999999999</v>
      </c>
    </row>
    <row r="125" spans="1:23">
      <c r="A125" s="104">
        <v>40969</v>
      </c>
      <c r="B125" s="102">
        <v>3.43</v>
      </c>
      <c r="C125" s="102">
        <v>4.1369999999999996</v>
      </c>
      <c r="D125" s="102">
        <v>3.1320000000000001</v>
      </c>
      <c r="H125" s="104">
        <v>40969</v>
      </c>
      <c r="I125" s="106">
        <v>1E-4</v>
      </c>
      <c r="J125" s="106">
        <v>9.9000000000000008E-3</v>
      </c>
      <c r="K125" s="106">
        <f t="shared" si="0"/>
        <v>5.3E-3</v>
      </c>
      <c r="L125" s="108">
        <v>4.9500000000000002E-2</v>
      </c>
      <c r="Q125" s="104">
        <v>40969</v>
      </c>
      <c r="R125" s="114">
        <v>1.9599999999999992E-2</v>
      </c>
      <c r="V125" s="104">
        <v>40969</v>
      </c>
      <c r="W125" s="110">
        <v>0.48159999999999997</v>
      </c>
    </row>
    <row r="126" spans="1:23">
      <c r="A126" s="104">
        <v>41000</v>
      </c>
      <c r="B126" s="102">
        <v>3.4735999999999998</v>
      </c>
      <c r="C126" s="102">
        <v>4.1756000000000002</v>
      </c>
      <c r="D126" s="102">
        <v>3.1726999999999999</v>
      </c>
      <c r="H126" s="104">
        <v>41000</v>
      </c>
      <c r="I126" s="106">
        <v>1.1000000000000001E-3</v>
      </c>
      <c r="J126" s="106">
        <v>7.7999999999999996E-3</v>
      </c>
      <c r="K126" s="106">
        <f t="shared" si="0"/>
        <v>5.3E-3</v>
      </c>
      <c r="L126" s="108">
        <v>4.9399999999999999E-2</v>
      </c>
      <c r="Q126" s="104">
        <v>41000</v>
      </c>
      <c r="R126" s="114">
        <v>1.9999999999999997E-2</v>
      </c>
      <c r="V126" s="104">
        <v>41000</v>
      </c>
      <c r="W126" s="110">
        <v>0.4728</v>
      </c>
    </row>
    <row r="127" spans="1:23">
      <c r="A127" s="104">
        <v>41030</v>
      </c>
      <c r="B127" s="102">
        <v>3.57</v>
      </c>
      <c r="C127" s="102">
        <v>4.2884000000000002</v>
      </c>
      <c r="D127" s="102">
        <v>3.3472</v>
      </c>
      <c r="H127" s="104">
        <v>41030</v>
      </c>
      <c r="I127" s="106">
        <v>1.1000000000000001E-3</v>
      </c>
      <c r="J127" s="106">
        <f t="shared" si="1"/>
        <v>7.7999999999999996E-3</v>
      </c>
      <c r="K127" s="106">
        <f t="shared" si="0"/>
        <v>5.3E-3</v>
      </c>
      <c r="L127" s="108">
        <v>5.0500000000000003E-2</v>
      </c>
      <c r="Q127" s="104">
        <v>41030</v>
      </c>
      <c r="R127" s="114">
        <v>1.8599999999999998E-2</v>
      </c>
      <c r="V127" s="104">
        <v>41030</v>
      </c>
      <c r="W127" s="110">
        <v>0.4698</v>
      </c>
    </row>
    <row r="128" spans="1:23">
      <c r="A128" s="104">
        <v>41061</v>
      </c>
      <c r="B128" s="102">
        <v>3.5865</v>
      </c>
      <c r="C128" s="102">
        <v>4.3071999999999999</v>
      </c>
      <c r="D128" s="102">
        <v>3.4399000000000002</v>
      </c>
      <c r="H128" s="104">
        <v>41061</v>
      </c>
      <c r="I128" s="106">
        <v>1.1000000000000001E-3</v>
      </c>
      <c r="J128" s="106">
        <v>6.7000000000000002E-3</v>
      </c>
      <c r="K128" s="106">
        <f t="shared" si="0"/>
        <v>5.3E-3</v>
      </c>
      <c r="L128" s="108">
        <v>5.1200000000000002E-2</v>
      </c>
      <c r="Q128" s="104">
        <v>41061</v>
      </c>
      <c r="R128" s="114">
        <v>1.9200000000000002E-2</v>
      </c>
      <c r="V128" s="104">
        <v>41061</v>
      </c>
      <c r="W128" s="110">
        <v>0.46689999999999998</v>
      </c>
    </row>
    <row r="129" spans="1:23">
      <c r="A129" s="104">
        <v>41091</v>
      </c>
      <c r="B129" s="102">
        <v>3.4883999999999999</v>
      </c>
      <c r="C129" s="102">
        <v>4.1896000000000004</v>
      </c>
      <c r="D129" s="102">
        <v>3.4060999999999999</v>
      </c>
      <c r="H129" s="104">
        <v>41091</v>
      </c>
      <c r="I129" s="106">
        <v>1.1000000000000001E-3</v>
      </c>
      <c r="J129" s="106">
        <f t="shared" si="1"/>
        <v>6.7000000000000002E-3</v>
      </c>
      <c r="K129" s="106">
        <f t="shared" si="0"/>
        <v>5.3E-3</v>
      </c>
      <c r="L129" s="108">
        <v>5.1299999999999998E-2</v>
      </c>
      <c r="Q129" s="104">
        <v>41091</v>
      </c>
      <c r="R129" s="114">
        <v>1.9500000000000003E-2</v>
      </c>
      <c r="V129" s="104">
        <v>41091</v>
      </c>
      <c r="W129" s="110">
        <v>0.4743</v>
      </c>
    </row>
    <row r="130" spans="1:23">
      <c r="A130" s="104">
        <v>41122</v>
      </c>
      <c r="B130" s="102">
        <v>3.4064000000000001</v>
      </c>
      <c r="C130" s="102">
        <v>4.0911999999999997</v>
      </c>
      <c r="D130" s="102">
        <v>3.3020999999999998</v>
      </c>
      <c r="H130" s="104">
        <v>41122</v>
      </c>
      <c r="I130" s="106">
        <v>1.1000000000000001E-3</v>
      </c>
      <c r="J130" s="106">
        <v>4.0000000000000001E-3</v>
      </c>
      <c r="K130" s="106">
        <f t="shared" si="0"/>
        <v>5.3E-3</v>
      </c>
      <c r="L130" s="108">
        <v>5.0999999999999997E-2</v>
      </c>
      <c r="Q130" s="104">
        <v>41122</v>
      </c>
      <c r="R130" s="114">
        <v>1.9900000000000008E-2</v>
      </c>
      <c r="V130" s="104">
        <v>41122</v>
      </c>
      <c r="W130" s="110">
        <v>0.47870000000000001</v>
      </c>
    </row>
    <row r="131" spans="1:23">
      <c r="A131" s="104">
        <v>41153</v>
      </c>
      <c r="B131" s="102">
        <v>3.4167999999999998</v>
      </c>
      <c r="C131" s="102">
        <v>4.1314000000000002</v>
      </c>
      <c r="D131" s="102">
        <v>3.2153999999999998</v>
      </c>
      <c r="H131" s="104">
        <v>41153</v>
      </c>
      <c r="I131" s="106">
        <v>1.1000000000000001E-3</v>
      </c>
      <c r="J131" s="106">
        <v>2.8E-3</v>
      </c>
      <c r="K131" s="106">
        <v>4.1999999999999997E-3</v>
      </c>
      <c r="L131" s="108">
        <v>4.9500000000000002E-2</v>
      </c>
      <c r="Q131" s="104">
        <v>41153</v>
      </c>
      <c r="R131" s="114">
        <v>2.0900000000000002E-2</v>
      </c>
      <c r="V131" s="104">
        <v>41153</v>
      </c>
      <c r="W131" s="110">
        <v>0.47720000000000001</v>
      </c>
    </row>
    <row r="132" spans="1:23">
      <c r="A132" s="104">
        <v>41183</v>
      </c>
      <c r="B132" s="102">
        <v>3.3965000000000001</v>
      </c>
      <c r="C132" s="102">
        <v>4.1090999999999998</v>
      </c>
      <c r="D132" s="102">
        <v>3.1671999999999998</v>
      </c>
      <c r="H132" s="104">
        <v>41183</v>
      </c>
      <c r="I132" s="106">
        <v>1.1000000000000001E-3</v>
      </c>
      <c r="J132" s="106">
        <f t="shared" si="1"/>
        <v>2.8E-3</v>
      </c>
      <c r="K132" s="106">
        <f t="shared" si="0"/>
        <v>4.1999999999999997E-3</v>
      </c>
      <c r="L132" s="108">
        <v>4.82E-2</v>
      </c>
      <c r="Q132" s="104">
        <v>41183</v>
      </c>
      <c r="R132" s="114">
        <v>2.1100000000000001E-2</v>
      </c>
      <c r="V132" s="104">
        <v>41183</v>
      </c>
      <c r="W132" s="110">
        <v>0.4713</v>
      </c>
    </row>
    <row r="133" spans="1:23">
      <c r="A133" s="104">
        <v>41214</v>
      </c>
      <c r="B133" s="102">
        <v>3.431</v>
      </c>
      <c r="C133" s="102">
        <v>4.1353999999999997</v>
      </c>
      <c r="D133" s="102">
        <v>3.2237</v>
      </c>
      <c r="H133" s="104">
        <v>41214</v>
      </c>
      <c r="I133" s="106">
        <v>1.1000000000000001E-3</v>
      </c>
      <c r="J133" s="106">
        <f t="shared" si="1"/>
        <v>2.8E-3</v>
      </c>
      <c r="K133" s="106">
        <v>3.0999999999999999E-3</v>
      </c>
      <c r="L133" s="108">
        <v>4.6199999999999998E-2</v>
      </c>
      <c r="Q133" s="104">
        <v>41214</v>
      </c>
      <c r="R133" s="114">
        <v>2.1999999999999999E-2</v>
      </c>
      <c r="V133" s="104">
        <v>41214</v>
      </c>
      <c r="W133" s="110">
        <v>0.46989999999999998</v>
      </c>
    </row>
    <row r="134" spans="1:23">
      <c r="A134" s="104">
        <v>41244</v>
      </c>
      <c r="B134" s="102">
        <v>3.3871000000000002</v>
      </c>
      <c r="C134" s="102">
        <v>4.0937999999999999</v>
      </c>
      <c r="D134" s="102">
        <v>3.1230000000000002</v>
      </c>
      <c r="H134" s="104">
        <v>41244</v>
      </c>
      <c r="I134" s="106">
        <v>1.1000000000000001E-3</v>
      </c>
      <c r="J134" s="106">
        <f t="shared" si="1"/>
        <v>2.8E-3</v>
      </c>
      <c r="K134" s="106">
        <f t="shared" si="0"/>
        <v>3.0999999999999999E-3</v>
      </c>
      <c r="L134" s="108">
        <v>4.2599999999999999E-2</v>
      </c>
      <c r="Q134" s="104">
        <v>41244</v>
      </c>
      <c r="R134" s="114">
        <v>2.3199999999999998E-2</v>
      </c>
      <c r="V134" s="104">
        <v>41244</v>
      </c>
      <c r="W134" s="110">
        <v>0.46839999999999998</v>
      </c>
    </row>
    <row r="135" spans="1:23">
      <c r="A135" s="104">
        <v>41275</v>
      </c>
      <c r="B135" s="102">
        <v>3.3679000000000001</v>
      </c>
      <c r="C135" s="102">
        <v>4.1368999999999998</v>
      </c>
      <c r="D135" s="102">
        <v>3.1145</v>
      </c>
      <c r="H135" s="104">
        <v>41275</v>
      </c>
      <c r="I135" s="106">
        <v>1E-4</v>
      </c>
      <c r="J135" s="106">
        <f t="shared" si="1"/>
        <v>2.8E-3</v>
      </c>
      <c r="K135" s="106">
        <f t="shared" si="0"/>
        <v>3.0999999999999999E-3</v>
      </c>
      <c r="L135" s="108">
        <v>4.0300000000000002E-2</v>
      </c>
      <c r="Q135" s="104">
        <v>41275</v>
      </c>
      <c r="R135" s="114">
        <v>2.2999999999999993E-2</v>
      </c>
      <c r="V135" s="104">
        <v>41275</v>
      </c>
      <c r="W135" s="110">
        <v>0.46689999999999998</v>
      </c>
    </row>
    <row r="136" spans="1:23">
      <c r="A136" s="104">
        <v>41306</v>
      </c>
      <c r="B136" s="102">
        <v>3.3923999999999999</v>
      </c>
      <c r="C136" s="102">
        <v>4.1734</v>
      </c>
      <c r="D136" s="102">
        <v>3.1196999999999999</v>
      </c>
      <c r="H136" s="104">
        <v>41306</v>
      </c>
      <c r="I136" s="106">
        <v>1E-4</v>
      </c>
      <c r="J136" s="106">
        <f t="shared" si="1"/>
        <v>2.8E-3</v>
      </c>
      <c r="K136" s="106">
        <f t="shared" si="0"/>
        <v>3.0999999999999999E-3</v>
      </c>
      <c r="L136" s="108">
        <v>3.7999999999999999E-2</v>
      </c>
      <c r="Q136" s="104">
        <v>41306</v>
      </c>
      <c r="R136" s="114">
        <v>2.3699999999999999E-2</v>
      </c>
      <c r="V136" s="104">
        <v>41306</v>
      </c>
      <c r="W136" s="110">
        <v>0.46689999999999998</v>
      </c>
    </row>
    <row r="137" spans="1:23">
      <c r="A137" s="104">
        <v>41334</v>
      </c>
      <c r="B137" s="102">
        <v>3.3908</v>
      </c>
      <c r="C137" s="102">
        <v>4.1581000000000001</v>
      </c>
      <c r="D137" s="102">
        <v>3.2058</v>
      </c>
      <c r="H137" s="104">
        <v>41334</v>
      </c>
      <c r="I137" s="106">
        <v>1E-4</v>
      </c>
      <c r="J137" s="106">
        <f t="shared" si="1"/>
        <v>2.8E-3</v>
      </c>
      <c r="K137" s="106">
        <f t="shared" si="0"/>
        <v>3.0999999999999999E-3</v>
      </c>
      <c r="L137" s="108">
        <v>3.4799999999999998E-2</v>
      </c>
      <c r="Q137" s="104">
        <v>41334</v>
      </c>
      <c r="R137" s="114">
        <v>2.4900000000000005E-2</v>
      </c>
      <c r="V137" s="104">
        <v>41334</v>
      </c>
      <c r="W137" s="110">
        <v>0.46400000000000002</v>
      </c>
    </row>
    <row r="138" spans="1:23">
      <c r="A138" s="104">
        <v>41365</v>
      </c>
      <c r="B138" s="102">
        <v>3.3946000000000001</v>
      </c>
      <c r="C138" s="102">
        <v>4.1409000000000002</v>
      </c>
      <c r="D138" s="102">
        <v>3.1825000000000001</v>
      </c>
      <c r="H138" s="104">
        <v>41365</v>
      </c>
      <c r="I138" s="106">
        <v>1E-4</v>
      </c>
      <c r="J138" s="106">
        <f t="shared" si="1"/>
        <v>2.8E-3</v>
      </c>
      <c r="K138" s="106">
        <f t="shared" si="0"/>
        <v>3.0999999999999999E-3</v>
      </c>
      <c r="L138" s="108">
        <v>3.2899999999999999E-2</v>
      </c>
      <c r="Q138" s="104">
        <v>41365</v>
      </c>
      <c r="R138" s="114">
        <v>2.4100000000000003E-2</v>
      </c>
      <c r="V138" s="104">
        <v>41365</v>
      </c>
      <c r="W138" s="110">
        <v>0.4582</v>
      </c>
    </row>
    <row r="139" spans="1:23">
      <c r="A139" s="104">
        <v>41395</v>
      </c>
      <c r="B139" s="102">
        <v>3.3653</v>
      </c>
      <c r="C139" s="102">
        <v>4.1759000000000004</v>
      </c>
      <c r="D139" s="102">
        <v>3.2149000000000001</v>
      </c>
      <c r="H139" s="104">
        <v>41395</v>
      </c>
      <c r="I139" s="106">
        <v>1E-4</v>
      </c>
      <c r="J139" s="106">
        <f t="shared" si="1"/>
        <v>2.8E-3</v>
      </c>
      <c r="K139" s="106">
        <f t="shared" si="0"/>
        <v>3.0999999999999999E-3</v>
      </c>
      <c r="L139" s="108">
        <v>2.86E-2</v>
      </c>
      <c r="Q139" s="104">
        <v>41395</v>
      </c>
      <c r="R139" s="114">
        <v>2.5599999999999998E-2</v>
      </c>
      <c r="V139" s="104">
        <v>41395</v>
      </c>
      <c r="W139" s="110">
        <v>0.45960000000000001</v>
      </c>
    </row>
    <row r="140" spans="1:23">
      <c r="A140" s="104">
        <v>41426</v>
      </c>
      <c r="B140" s="102">
        <v>3.4775</v>
      </c>
      <c r="C140" s="102">
        <v>4.2865000000000002</v>
      </c>
      <c r="D140" s="102">
        <v>3.2511999999999999</v>
      </c>
      <c r="H140" s="104">
        <v>41426</v>
      </c>
      <c r="I140" s="106">
        <v>1E-4</v>
      </c>
      <c r="J140" s="106">
        <f t="shared" si="1"/>
        <v>2.8E-3</v>
      </c>
      <c r="K140" s="106">
        <f t="shared" si="0"/>
        <v>3.0999999999999999E-3</v>
      </c>
      <c r="L140" s="108">
        <v>2.7400000000000001E-2</v>
      </c>
      <c r="Q140" s="104">
        <v>41426</v>
      </c>
      <c r="R140" s="114">
        <v>2.3899999999999998E-2</v>
      </c>
      <c r="V140" s="104">
        <v>41426</v>
      </c>
      <c r="W140" s="110">
        <v>0.45960000000000001</v>
      </c>
    </row>
    <row r="141" spans="1:23">
      <c r="A141" s="104">
        <v>41456</v>
      </c>
      <c r="B141" s="102">
        <v>3.4582000000000002</v>
      </c>
      <c r="C141" s="102">
        <v>4.2755999999999998</v>
      </c>
      <c r="D141" s="102">
        <v>3.2688000000000001</v>
      </c>
      <c r="H141" s="104">
        <v>41456</v>
      </c>
      <c r="I141" s="106">
        <v>1E-4</v>
      </c>
      <c r="J141" s="106">
        <f t="shared" si="1"/>
        <v>2.8E-3</v>
      </c>
      <c r="K141" s="106">
        <f t="shared" si="0"/>
        <v>3.0999999999999999E-3</v>
      </c>
      <c r="L141" s="108">
        <v>2.7E-2</v>
      </c>
      <c r="Q141" s="104">
        <v>41456</v>
      </c>
      <c r="R141" s="114">
        <v>2.3199999999999998E-2</v>
      </c>
      <c r="V141" s="104">
        <v>41456</v>
      </c>
      <c r="W141" s="110">
        <v>0.45529999999999998</v>
      </c>
    </row>
    <row r="142" spans="1:23">
      <c r="A142" s="104">
        <v>41487</v>
      </c>
      <c r="B142" s="102">
        <v>3.4276</v>
      </c>
      <c r="C142" s="102">
        <v>4.2294999999999998</v>
      </c>
      <c r="D142" s="102">
        <v>3.1766999999999999</v>
      </c>
      <c r="H142" s="104">
        <v>41487</v>
      </c>
      <c r="I142" s="106">
        <v>1E-4</v>
      </c>
      <c r="J142" s="106">
        <f t="shared" si="1"/>
        <v>2.8E-3</v>
      </c>
      <c r="K142" s="106">
        <f t="shared" si="0"/>
        <v>3.0999999999999999E-3</v>
      </c>
      <c r="L142" s="108">
        <v>2.7E-2</v>
      </c>
      <c r="Q142" s="104">
        <v>41487</v>
      </c>
      <c r="R142" s="114">
        <v>2.3699999999999999E-2</v>
      </c>
      <c r="V142" s="104">
        <v>41487</v>
      </c>
      <c r="W142" s="110">
        <v>0.45960000000000001</v>
      </c>
    </row>
    <row r="143" spans="1:23">
      <c r="A143" s="104">
        <v>41518</v>
      </c>
      <c r="B143" s="102">
        <v>3.4348999999999998</v>
      </c>
      <c r="C143" s="102">
        <v>4.2375999999999996</v>
      </c>
      <c r="D143" s="102">
        <v>3.1749999999999998</v>
      </c>
      <c r="H143" s="104">
        <v>41518</v>
      </c>
      <c r="I143" s="106">
        <v>1E-4</v>
      </c>
      <c r="J143" s="106">
        <f t="shared" si="1"/>
        <v>2.8E-3</v>
      </c>
      <c r="K143" s="106">
        <f t="shared" si="0"/>
        <v>3.0999999999999999E-3</v>
      </c>
      <c r="L143" s="108">
        <v>2.69E-2</v>
      </c>
      <c r="Q143" s="104">
        <v>41518</v>
      </c>
      <c r="R143" s="114">
        <v>2.4199999999999999E-2</v>
      </c>
      <c r="V143" s="104">
        <v>41518</v>
      </c>
      <c r="W143" s="110">
        <v>0.4582</v>
      </c>
    </row>
    <row r="144" spans="1:23">
      <c r="A144" s="104">
        <v>41548</v>
      </c>
      <c r="B144" s="102">
        <v>3.4033000000000002</v>
      </c>
      <c r="C144" s="102">
        <v>4.1908000000000003</v>
      </c>
      <c r="D144" s="102">
        <v>3.0703999999999998</v>
      </c>
      <c r="H144" s="104">
        <v>41548</v>
      </c>
      <c r="I144" s="106">
        <v>1E-4</v>
      </c>
      <c r="J144" s="106">
        <f t="shared" si="1"/>
        <v>2.8E-3</v>
      </c>
      <c r="K144" s="106">
        <f t="shared" si="0"/>
        <v>3.0999999999999999E-3</v>
      </c>
      <c r="L144" s="108">
        <v>2.6700000000000002E-2</v>
      </c>
      <c r="Q144" s="104">
        <v>41548</v>
      </c>
      <c r="R144" s="114">
        <v>2.4200000000000003E-2</v>
      </c>
      <c r="V144" s="104">
        <v>41548</v>
      </c>
      <c r="W144" s="110">
        <v>0.45529999999999998</v>
      </c>
    </row>
    <row r="145" spans="1:23">
      <c r="A145" s="104">
        <v>41579</v>
      </c>
      <c r="B145" s="102">
        <v>3.3996</v>
      </c>
      <c r="C145" s="102">
        <v>4.1882000000000001</v>
      </c>
      <c r="D145" s="102">
        <v>3.0998000000000001</v>
      </c>
      <c r="H145" s="104">
        <v>41579</v>
      </c>
      <c r="I145" s="106">
        <v>1E-4</v>
      </c>
      <c r="J145" s="106">
        <f t="shared" si="1"/>
        <v>2.8E-3</v>
      </c>
      <c r="K145" s="106">
        <f t="shared" si="0"/>
        <v>3.0999999999999999E-3</v>
      </c>
      <c r="L145" s="108">
        <v>2.6499999999999999E-2</v>
      </c>
      <c r="Q145" s="104">
        <v>41579</v>
      </c>
      <c r="R145" s="114">
        <v>2.4400000000000002E-2</v>
      </c>
      <c r="V145" s="104">
        <v>41579</v>
      </c>
      <c r="W145" s="110">
        <v>0.4582</v>
      </c>
    </row>
    <row r="146" spans="1:23">
      <c r="A146" s="104">
        <v>41609</v>
      </c>
      <c r="B146" s="102">
        <v>3.4087999999999998</v>
      </c>
      <c r="C146" s="102">
        <v>4.1757</v>
      </c>
      <c r="D146" s="102">
        <v>3.0480999999999998</v>
      </c>
      <c r="H146" s="104">
        <v>41609</v>
      </c>
      <c r="I146" s="106">
        <v>1E-4</v>
      </c>
      <c r="J146" s="106">
        <f t="shared" si="1"/>
        <v>2.8E-3</v>
      </c>
      <c r="K146" s="106">
        <f t="shared" si="0"/>
        <v>3.0999999999999999E-3</v>
      </c>
      <c r="L146" s="108">
        <v>2.6700000000000002E-2</v>
      </c>
      <c r="Q146" s="104">
        <v>41609</v>
      </c>
      <c r="R146" s="114">
        <v>2.4400000000000002E-2</v>
      </c>
      <c r="V146" s="104">
        <v>41609</v>
      </c>
      <c r="W146" s="110">
        <v>0.45669999999999999</v>
      </c>
    </row>
    <row r="147" spans="1:23">
      <c r="A147" s="104">
        <v>41640</v>
      </c>
      <c r="B147" s="102">
        <v>3.3935</v>
      </c>
      <c r="C147" s="102">
        <v>4.1776</v>
      </c>
      <c r="D147" s="102">
        <v>3.0649999999999999</v>
      </c>
      <c r="H147" s="104">
        <v>41640</v>
      </c>
      <c r="I147" s="106">
        <v>1E-4</v>
      </c>
      <c r="J147" s="106">
        <f t="shared" si="1"/>
        <v>2.8E-3</v>
      </c>
      <c r="K147" s="106">
        <f t="shared" si="0"/>
        <v>3.0999999999999999E-3</v>
      </c>
      <c r="L147" s="108">
        <v>2.7E-2</v>
      </c>
      <c r="Q147" s="104">
        <v>41640</v>
      </c>
      <c r="R147" s="114">
        <v>2.47E-2</v>
      </c>
      <c r="V147" s="104">
        <v>41640</v>
      </c>
      <c r="W147" s="110">
        <v>0.45529999999999998</v>
      </c>
    </row>
    <row r="148" spans="1:23">
      <c r="A148" s="104">
        <v>41671</v>
      </c>
      <c r="B148" s="102">
        <v>3.4205000000000001</v>
      </c>
      <c r="C148" s="102">
        <v>4.1786000000000003</v>
      </c>
      <c r="D148" s="102">
        <v>3.0613000000000001</v>
      </c>
      <c r="H148" s="104">
        <v>41671</v>
      </c>
      <c r="I148" s="106">
        <v>1E-4</v>
      </c>
      <c r="J148" s="106">
        <f t="shared" si="1"/>
        <v>2.8E-3</v>
      </c>
      <c r="K148" s="106">
        <f t="shared" si="0"/>
        <v>3.0999999999999999E-3</v>
      </c>
      <c r="L148" s="108">
        <v>2.7099999999999999E-2</v>
      </c>
      <c r="Q148" s="104">
        <v>41671</v>
      </c>
      <c r="R148" s="114">
        <v>2.4399999999999998E-2</v>
      </c>
      <c r="V148" s="104">
        <v>41671</v>
      </c>
      <c r="W148" s="110">
        <v>0.45379999999999998</v>
      </c>
    </row>
    <row r="149" spans="1:23">
      <c r="A149" s="104">
        <v>41699</v>
      </c>
      <c r="B149" s="102">
        <v>3.4470999999999998</v>
      </c>
      <c r="C149" s="102">
        <v>4.1971999999999996</v>
      </c>
      <c r="D149" s="102">
        <v>3.0377999999999998</v>
      </c>
      <c r="H149" s="104">
        <v>41699</v>
      </c>
      <c r="I149" s="106">
        <v>1E-4</v>
      </c>
      <c r="J149" s="106">
        <f t="shared" si="1"/>
        <v>2.8E-3</v>
      </c>
      <c r="K149" s="106">
        <f t="shared" si="0"/>
        <v>3.0999999999999999E-3</v>
      </c>
      <c r="L149" s="108">
        <v>2.7099999999999999E-2</v>
      </c>
      <c r="Q149" s="104">
        <v>41699</v>
      </c>
      <c r="R149" s="114">
        <v>2.4800000000000003E-2</v>
      </c>
      <c r="V149" s="104">
        <v>41699</v>
      </c>
      <c r="W149" s="110">
        <v>0.45240000000000002</v>
      </c>
    </row>
    <row r="150" spans="1:23">
      <c r="A150" s="104">
        <v>41730</v>
      </c>
      <c r="B150" s="102">
        <v>3.4317000000000002</v>
      </c>
      <c r="C150" s="102">
        <v>4.1840999999999999</v>
      </c>
      <c r="D150" s="102">
        <v>3.0293000000000001</v>
      </c>
      <c r="H150" s="104">
        <v>41730</v>
      </c>
      <c r="I150" s="106">
        <v>1E-4</v>
      </c>
      <c r="J150" s="106">
        <f t="shared" si="1"/>
        <v>2.8E-3</v>
      </c>
      <c r="K150" s="106">
        <f t="shared" si="0"/>
        <v>3.0999999999999999E-3</v>
      </c>
      <c r="L150" s="108">
        <v>2.7199999999999998E-2</v>
      </c>
      <c r="Q150" s="104">
        <v>41730</v>
      </c>
      <c r="R150" s="114">
        <v>2.52E-2</v>
      </c>
      <c r="V150" s="104">
        <v>41730</v>
      </c>
      <c r="W150" s="110">
        <v>0.45240000000000002</v>
      </c>
    </row>
    <row r="151" spans="1:23">
      <c r="A151" s="104">
        <v>41760</v>
      </c>
      <c r="B151" s="102">
        <v>3.4243999999999999</v>
      </c>
      <c r="C151" s="102">
        <v>4.1790000000000003</v>
      </c>
      <c r="D151" s="102">
        <v>3.0415000000000001</v>
      </c>
      <c r="H151" s="104">
        <v>41760</v>
      </c>
      <c r="I151" s="106">
        <v>1E-4</v>
      </c>
      <c r="J151" s="106">
        <f t="shared" si="1"/>
        <v>2.8E-3</v>
      </c>
      <c r="K151" s="106">
        <f t="shared" si="0"/>
        <v>3.0999999999999999E-3</v>
      </c>
      <c r="L151" s="108">
        <v>2.7199999999999998E-2</v>
      </c>
      <c r="Q151" s="104">
        <v>41760</v>
      </c>
      <c r="R151" s="114">
        <v>2.5899999999999999E-2</v>
      </c>
      <c r="V151" s="104">
        <v>41760</v>
      </c>
      <c r="W151" s="110">
        <v>0.45379999999999998</v>
      </c>
    </row>
    <row r="152" spans="1:23">
      <c r="A152" s="104">
        <v>41791</v>
      </c>
      <c r="B152" s="102">
        <v>3.3965000000000001</v>
      </c>
      <c r="C152" s="102">
        <v>4.1368999999999998</v>
      </c>
      <c r="D152" s="102">
        <v>3.0425</v>
      </c>
      <c r="H152" s="104">
        <v>41791</v>
      </c>
      <c r="I152" s="106">
        <v>1E-4</v>
      </c>
      <c r="J152" s="106">
        <f t="shared" si="1"/>
        <v>2.8E-3</v>
      </c>
      <c r="K152" s="106">
        <f t="shared" si="0"/>
        <v>3.0999999999999999E-3</v>
      </c>
      <c r="L152" s="108">
        <v>2.69E-2</v>
      </c>
      <c r="Q152" s="104">
        <v>41791</v>
      </c>
      <c r="R152" s="114">
        <v>2.6599999999999999E-2</v>
      </c>
      <c r="V152" s="104">
        <v>41791</v>
      </c>
      <c r="W152" s="110">
        <v>0.45379999999999998</v>
      </c>
    </row>
    <row r="153" spans="1:23">
      <c r="A153" s="104">
        <v>41821</v>
      </c>
      <c r="B153" s="102">
        <v>3.4114</v>
      </c>
      <c r="C153" s="102">
        <v>4.1447000000000003</v>
      </c>
      <c r="D153" s="102">
        <v>3.0598000000000001</v>
      </c>
      <c r="H153" s="104">
        <v>41821</v>
      </c>
      <c r="I153" s="106">
        <v>1E-4</v>
      </c>
      <c r="J153" s="106">
        <f t="shared" si="1"/>
        <v>2.8E-3</v>
      </c>
      <c r="K153" s="106">
        <f t="shared" si="0"/>
        <v>3.0999999999999999E-3</v>
      </c>
      <c r="L153" s="108">
        <v>2.6800000000000001E-2</v>
      </c>
      <c r="Q153" s="104">
        <v>41821</v>
      </c>
      <c r="R153" s="114">
        <v>2.7E-2</v>
      </c>
      <c r="V153" s="104">
        <v>41821</v>
      </c>
      <c r="W153" s="110">
        <v>0.45669999999999999</v>
      </c>
    </row>
    <row r="154" spans="1:23">
      <c r="A154" s="104">
        <v>41852</v>
      </c>
      <c r="B154" s="102">
        <v>3.4601999999999999</v>
      </c>
      <c r="C154" s="102">
        <v>4.1932</v>
      </c>
      <c r="D154" s="102">
        <v>3.1482000000000001</v>
      </c>
      <c r="H154" s="104">
        <v>41852</v>
      </c>
      <c r="I154" s="106">
        <v>1E-4</v>
      </c>
      <c r="J154" s="106">
        <f t="shared" si="1"/>
        <v>2.8E-3</v>
      </c>
      <c r="K154" s="106">
        <f t="shared" si="0"/>
        <v>3.0999999999999999E-3</v>
      </c>
      <c r="L154" s="108">
        <v>2.6499999999999999E-2</v>
      </c>
      <c r="Q154" s="104">
        <v>41852</v>
      </c>
      <c r="R154" s="114">
        <v>2.7199999999999998E-2</v>
      </c>
      <c r="V154" s="104">
        <v>41852</v>
      </c>
      <c r="W154" s="110">
        <v>0.46260000000000001</v>
      </c>
    </row>
    <row r="155" spans="1:23">
      <c r="A155" s="104">
        <v>41883</v>
      </c>
      <c r="B155" s="102">
        <v>3.4695</v>
      </c>
      <c r="C155" s="102">
        <v>4.1901000000000002</v>
      </c>
      <c r="D155" s="102">
        <v>3.2475000000000001</v>
      </c>
      <c r="H155" s="104">
        <v>41883</v>
      </c>
      <c r="I155" s="106">
        <v>1E-4</v>
      </c>
      <c r="J155" s="106">
        <v>1.6999999999999999E-3</v>
      </c>
      <c r="K155" s="106">
        <f t="shared" si="0"/>
        <v>3.0999999999999999E-3</v>
      </c>
      <c r="L155" s="108">
        <v>2.4500000000000001E-2</v>
      </c>
      <c r="Q155" s="104">
        <v>41883</v>
      </c>
      <c r="R155" s="114">
        <v>2.8199999999999996E-2</v>
      </c>
      <c r="V155" s="104">
        <v>41883</v>
      </c>
      <c r="W155" s="110">
        <v>0.46260000000000001</v>
      </c>
    </row>
    <row r="156" spans="1:23">
      <c r="A156" s="104">
        <v>41913</v>
      </c>
      <c r="B156" s="102">
        <v>3.4813999999999998</v>
      </c>
      <c r="C156" s="102">
        <v>4.2050000000000001</v>
      </c>
      <c r="D156" s="102">
        <v>3.3151999999999999</v>
      </c>
      <c r="H156" s="104">
        <v>41913</v>
      </c>
      <c r="I156" s="106">
        <v>1E-4</v>
      </c>
      <c r="J156" s="106">
        <f t="shared" si="1"/>
        <v>1.6999999999999999E-3</v>
      </c>
      <c r="K156" s="106">
        <f t="shared" si="0"/>
        <v>3.0999999999999999E-3</v>
      </c>
      <c r="L156" s="108">
        <v>2.07E-2</v>
      </c>
      <c r="Q156" s="104">
        <v>41913</v>
      </c>
      <c r="R156" s="114">
        <v>2.8599999999999997E-2</v>
      </c>
      <c r="V156" s="104">
        <v>41913</v>
      </c>
      <c r="W156" s="110">
        <v>0.46260000000000001</v>
      </c>
    </row>
    <row r="157" spans="1:23">
      <c r="A157" s="104">
        <v>41944</v>
      </c>
      <c r="B157" s="102">
        <v>3.5011000000000001</v>
      </c>
      <c r="C157" s="102">
        <v>4.2115</v>
      </c>
      <c r="D157" s="102">
        <v>3.3776999999999999</v>
      </c>
      <c r="H157" s="104">
        <v>41944</v>
      </c>
      <c r="I157" s="106">
        <v>1E-4</v>
      </c>
      <c r="J157" s="106">
        <f t="shared" si="1"/>
        <v>1.6999999999999999E-3</v>
      </c>
      <c r="K157" s="106">
        <f t="shared" si="0"/>
        <v>3.0999999999999999E-3</v>
      </c>
      <c r="L157" s="108">
        <v>2.0299999999999999E-2</v>
      </c>
      <c r="Q157" s="104">
        <v>41944</v>
      </c>
      <c r="R157" s="114">
        <v>2.8200000000000003E-2</v>
      </c>
      <c r="V157" s="104">
        <v>41944</v>
      </c>
      <c r="W157" s="110">
        <v>0.46550000000000002</v>
      </c>
    </row>
    <row r="158" spans="1:23">
      <c r="A158" s="104">
        <v>41974</v>
      </c>
      <c r="B158" s="102">
        <v>3.5123000000000002</v>
      </c>
      <c r="C158" s="102">
        <v>4.2233000000000001</v>
      </c>
      <c r="D158" s="102">
        <v>3.4287000000000001</v>
      </c>
      <c r="H158" s="104">
        <v>41974</v>
      </c>
      <c r="I158" s="106">
        <v>1E-4</v>
      </c>
      <c r="J158" s="106">
        <f t="shared" si="1"/>
        <v>1.6999999999999999E-3</v>
      </c>
      <c r="K158" s="106">
        <f t="shared" si="0"/>
        <v>3.0999999999999999E-3</v>
      </c>
      <c r="L158" s="108">
        <v>2.06E-2</v>
      </c>
      <c r="Q158" s="104">
        <v>41974</v>
      </c>
      <c r="R158" s="114">
        <v>2.7499999999999997E-2</v>
      </c>
      <c r="V158" s="104">
        <v>41974</v>
      </c>
      <c r="W158" s="110">
        <v>0.46989999999999998</v>
      </c>
    </row>
    <row r="159" spans="1:23">
      <c r="A159" s="104">
        <v>42005</v>
      </c>
      <c r="B159" s="102">
        <v>3.9272999999999998</v>
      </c>
      <c r="C159" s="102">
        <v>4.2797000000000001</v>
      </c>
      <c r="D159" s="102">
        <v>3.6739000000000002</v>
      </c>
      <c r="H159" s="104">
        <v>42005</v>
      </c>
      <c r="I159" s="106">
        <v>1E-4</v>
      </c>
      <c r="J159" s="106">
        <f t="shared" si="1"/>
        <v>1.6999999999999999E-3</v>
      </c>
      <c r="K159" s="106">
        <f t="shared" ref="K159:K160" si="2">K158</f>
        <v>3.0999999999999999E-3</v>
      </c>
      <c r="L159" s="108">
        <v>2.0299999999999999E-2</v>
      </c>
      <c r="Q159" s="104">
        <v>42005</v>
      </c>
      <c r="R159" s="114">
        <v>2.8000000000000004E-2</v>
      </c>
      <c r="V159" s="104">
        <v>42005</v>
      </c>
      <c r="W159" s="110">
        <v>0.47289999999999999</v>
      </c>
    </row>
    <row r="160" spans="1:23">
      <c r="A160" s="104">
        <v>42036</v>
      </c>
      <c r="B160" s="102">
        <v>3.9321999999999999</v>
      </c>
      <c r="C160" s="102">
        <v>4.1776</v>
      </c>
      <c r="D160" s="102">
        <v>3.6766000000000001</v>
      </c>
      <c r="H160" s="104">
        <v>42036</v>
      </c>
      <c r="I160" s="115">
        <v>-8.6E-3</v>
      </c>
      <c r="J160" s="106">
        <v>5.0000000000000001E-4</v>
      </c>
      <c r="K160" s="106">
        <f t="shared" si="2"/>
        <v>3.0999999999999999E-3</v>
      </c>
      <c r="L160" s="108">
        <v>1.9199999999999998E-2</v>
      </c>
      <c r="Q160" s="104">
        <v>42036</v>
      </c>
      <c r="R160" s="114">
        <v>2.7600000000000003E-2</v>
      </c>
      <c r="V160" s="104">
        <v>42036</v>
      </c>
      <c r="W160" s="110">
        <v>0.4743</v>
      </c>
    </row>
    <row r="161" spans="1:23">
      <c r="A161" s="104">
        <v>42064</v>
      </c>
      <c r="B161" s="102">
        <v>3.8912</v>
      </c>
      <c r="C161" s="102">
        <v>4.1277999999999997</v>
      </c>
      <c r="D161" s="102">
        <v>3.8138000000000001</v>
      </c>
      <c r="H161" s="104">
        <v>42064</v>
      </c>
      <c r="I161" s="115">
        <v>-8.6E-3</v>
      </c>
      <c r="J161" s="106">
        <f t="shared" ref="J161:J222" si="3">J160</f>
        <v>5.0000000000000001E-4</v>
      </c>
      <c r="K161" s="106">
        <f t="shared" ref="K161:K165" si="4">K160</f>
        <v>3.0999999999999999E-3</v>
      </c>
      <c r="L161" s="108">
        <v>1.67E-2</v>
      </c>
      <c r="Q161" s="104">
        <v>42064</v>
      </c>
      <c r="R161" s="114">
        <v>2.8200000000000003E-2</v>
      </c>
      <c r="V161" s="104">
        <v>42064</v>
      </c>
      <c r="W161" s="110">
        <v>0.47139999999999999</v>
      </c>
    </row>
    <row r="162" spans="1:23">
      <c r="A162" s="104">
        <v>42095</v>
      </c>
      <c r="B162" s="102">
        <v>3.8812000000000002</v>
      </c>
      <c r="C162" s="102">
        <v>4.0290999999999997</v>
      </c>
      <c r="D162" s="102">
        <v>3.7347000000000001</v>
      </c>
      <c r="H162" s="104">
        <v>42095</v>
      </c>
      <c r="I162" s="115">
        <v>-8.6E-3</v>
      </c>
      <c r="J162" s="106">
        <f t="shared" si="3"/>
        <v>5.0000000000000001E-4</v>
      </c>
      <c r="K162" s="106">
        <f t="shared" si="4"/>
        <v>3.0999999999999999E-3</v>
      </c>
      <c r="L162" s="108">
        <v>1.6500000000000001E-2</v>
      </c>
      <c r="Q162" s="104">
        <v>42095</v>
      </c>
      <c r="R162" s="114">
        <v>2.6999999999999996E-2</v>
      </c>
      <c r="V162" s="104">
        <v>42095</v>
      </c>
      <c r="W162" s="110">
        <v>0.46550000000000002</v>
      </c>
    </row>
    <row r="163" spans="1:23">
      <c r="A163" s="104">
        <v>42125</v>
      </c>
      <c r="B163" s="102">
        <v>3.9211</v>
      </c>
      <c r="C163" s="102">
        <v>4.0782999999999996</v>
      </c>
      <c r="D163" s="102">
        <v>3.6520000000000001</v>
      </c>
      <c r="H163" s="104">
        <v>42125</v>
      </c>
      <c r="I163" s="115">
        <v>-8.6E-3</v>
      </c>
      <c r="J163" s="106">
        <f t="shared" si="3"/>
        <v>5.0000000000000001E-4</v>
      </c>
      <c r="K163" s="106">
        <f t="shared" si="4"/>
        <v>3.0999999999999999E-3</v>
      </c>
      <c r="L163" s="108">
        <v>1.67E-2</v>
      </c>
      <c r="Q163" s="104">
        <v>42125</v>
      </c>
      <c r="R163" s="114">
        <v>2.69E-2</v>
      </c>
      <c r="V163" s="104">
        <v>42125</v>
      </c>
      <c r="W163" s="110">
        <v>0.46550000000000002</v>
      </c>
    </row>
    <row r="164" spans="1:23">
      <c r="A164" s="104">
        <v>42156</v>
      </c>
      <c r="B164" s="102">
        <v>3.9817</v>
      </c>
      <c r="C164" s="102">
        <v>4.1597</v>
      </c>
      <c r="D164" s="102">
        <v>3.7103000000000002</v>
      </c>
      <c r="H164" s="104">
        <v>42156</v>
      </c>
      <c r="I164" s="115">
        <v>-8.6E-3</v>
      </c>
      <c r="J164" s="106">
        <f t="shared" si="3"/>
        <v>5.0000000000000001E-4</v>
      </c>
      <c r="K164" s="106">
        <f t="shared" si="4"/>
        <v>3.0999999999999999E-3</v>
      </c>
      <c r="L164" s="108">
        <v>1.7000000000000001E-2</v>
      </c>
      <c r="Q164" s="104">
        <v>42156</v>
      </c>
      <c r="R164" s="114">
        <v>2.6599999999999999E-2</v>
      </c>
      <c r="V164" s="104">
        <v>42156</v>
      </c>
      <c r="W164" s="110">
        <v>0.46550000000000002</v>
      </c>
    </row>
    <row r="165" spans="1:23">
      <c r="A165" s="104">
        <v>42186</v>
      </c>
      <c r="B165" s="102">
        <v>3.9626999999999999</v>
      </c>
      <c r="C165" s="102">
        <v>4.1539999999999999</v>
      </c>
      <c r="D165" s="102">
        <v>3.7734000000000001</v>
      </c>
      <c r="H165" s="104">
        <v>42186</v>
      </c>
      <c r="I165" s="115">
        <v>-7.4000000000000003E-3</v>
      </c>
      <c r="J165" s="106">
        <f t="shared" si="3"/>
        <v>5.0000000000000001E-4</v>
      </c>
      <c r="K165" s="106">
        <f t="shared" si="4"/>
        <v>3.0999999999999999E-3</v>
      </c>
      <c r="L165" s="108">
        <v>1.72E-2</v>
      </c>
      <c r="Q165" s="104">
        <v>42186</v>
      </c>
      <c r="R165" s="114">
        <v>2.7000000000000003E-2</v>
      </c>
      <c r="V165" s="104">
        <v>42186</v>
      </c>
      <c r="W165" s="110">
        <v>0.46700000000000003</v>
      </c>
    </row>
    <row r="166" spans="1:23">
      <c r="A166" s="104">
        <v>42217</v>
      </c>
      <c r="B166" s="102">
        <v>3.8929</v>
      </c>
      <c r="C166" s="102">
        <v>4.1936</v>
      </c>
      <c r="D166" s="102">
        <v>3.7685</v>
      </c>
      <c r="H166" s="104">
        <v>42217</v>
      </c>
      <c r="I166" s="115">
        <v>-7.4000000000000003E-3</v>
      </c>
      <c r="J166" s="106">
        <f t="shared" si="3"/>
        <v>5.0000000000000001E-4</v>
      </c>
      <c r="K166" s="106">
        <f t="shared" ref="K166:K229" si="5">K165</f>
        <v>3.0999999999999999E-3</v>
      </c>
      <c r="L166" s="108">
        <v>1.72E-2</v>
      </c>
      <c r="Q166" s="104">
        <v>42217</v>
      </c>
      <c r="R166" s="114">
        <v>2.7099999999999999E-2</v>
      </c>
      <c r="V166" s="104">
        <v>42217</v>
      </c>
      <c r="W166" s="110">
        <v>0.47289999999999999</v>
      </c>
    </row>
    <row r="167" spans="1:23">
      <c r="A167" s="104">
        <v>42248</v>
      </c>
      <c r="B167" s="102">
        <v>3.8605</v>
      </c>
      <c r="C167" s="102">
        <v>4.2168999999999999</v>
      </c>
      <c r="D167" s="102">
        <v>3.7513000000000001</v>
      </c>
      <c r="H167" s="104">
        <v>42248</v>
      </c>
      <c r="I167" s="115">
        <v>-7.4000000000000003E-3</v>
      </c>
      <c r="J167" s="106">
        <f t="shared" si="3"/>
        <v>5.0000000000000001E-4</v>
      </c>
      <c r="K167" s="106">
        <f t="shared" si="5"/>
        <v>3.0999999999999999E-3</v>
      </c>
      <c r="L167" s="108">
        <v>1.72E-2</v>
      </c>
      <c r="Q167" s="104">
        <v>42248</v>
      </c>
      <c r="R167" s="114">
        <v>2.7299999999999998E-2</v>
      </c>
      <c r="V167" s="104">
        <v>42248</v>
      </c>
      <c r="W167" s="110">
        <v>0.4773</v>
      </c>
    </row>
    <row r="168" spans="1:23">
      <c r="A168" s="104">
        <v>42278</v>
      </c>
      <c r="B168" s="102">
        <v>3.9055</v>
      </c>
      <c r="C168" s="102">
        <v>4.2460000000000004</v>
      </c>
      <c r="D168" s="102">
        <v>3.7806999999999999</v>
      </c>
      <c r="H168" s="104">
        <v>42278</v>
      </c>
      <c r="I168" s="115">
        <v>-7.4000000000000003E-3</v>
      </c>
      <c r="J168" s="106">
        <f t="shared" si="3"/>
        <v>5.0000000000000001E-4</v>
      </c>
      <c r="K168" s="106">
        <f t="shared" si="5"/>
        <v>3.0999999999999999E-3</v>
      </c>
      <c r="L168" s="108">
        <v>1.7299999999999999E-2</v>
      </c>
      <c r="Q168" s="104">
        <v>42278</v>
      </c>
      <c r="R168" s="114">
        <v>2.75E-2</v>
      </c>
      <c r="V168" s="104">
        <v>42278</v>
      </c>
      <c r="W168" s="110">
        <v>0.47589999999999999</v>
      </c>
    </row>
    <row r="169" spans="1:23">
      <c r="A169" s="104">
        <v>42309</v>
      </c>
      <c r="B169" s="102">
        <v>3.9239000000000002</v>
      </c>
      <c r="C169" s="102">
        <v>4.2503000000000002</v>
      </c>
      <c r="D169" s="102">
        <v>3.9571000000000001</v>
      </c>
      <c r="H169" s="104">
        <v>42309</v>
      </c>
      <c r="I169" s="115">
        <v>-7.4000000000000003E-3</v>
      </c>
      <c r="J169" s="106">
        <v>6.9999999999999999E-4</v>
      </c>
      <c r="K169" s="106">
        <f t="shared" si="5"/>
        <v>3.0999999999999999E-3</v>
      </c>
      <c r="L169" s="108">
        <v>1.7299999999999999E-2</v>
      </c>
      <c r="Q169" s="104">
        <v>42309</v>
      </c>
      <c r="R169" s="114">
        <v>2.7199999999999998E-2</v>
      </c>
      <c r="V169" s="104">
        <v>42309</v>
      </c>
      <c r="W169" s="110">
        <v>0.4773</v>
      </c>
    </row>
    <row r="170" spans="1:23">
      <c r="A170" s="104">
        <v>42339</v>
      </c>
      <c r="B170" s="102">
        <v>3.9613</v>
      </c>
      <c r="C170" s="102">
        <v>4.2904999999999998</v>
      </c>
      <c r="D170" s="102">
        <v>3.9417</v>
      </c>
      <c r="H170" s="104">
        <v>42339</v>
      </c>
      <c r="I170" s="115">
        <v>-7.4000000000000003E-3</v>
      </c>
      <c r="J170" s="106">
        <f t="shared" si="3"/>
        <v>6.9999999999999999E-4</v>
      </c>
      <c r="K170" s="106">
        <v>4.1000000000000003E-3</v>
      </c>
      <c r="L170" s="108">
        <v>1.72E-2</v>
      </c>
      <c r="Q170" s="104">
        <v>42339</v>
      </c>
      <c r="R170" s="114">
        <v>2.7999999999999997E-2</v>
      </c>
      <c r="V170" s="104">
        <v>42339</v>
      </c>
      <c r="W170" s="110">
        <v>0.4803</v>
      </c>
    </row>
    <row r="171" spans="1:23">
      <c r="A171" s="104">
        <v>42370</v>
      </c>
      <c r="B171" s="102">
        <v>4.0175999999999998</v>
      </c>
      <c r="C171" s="102">
        <v>4.3935000000000004</v>
      </c>
      <c r="D171" s="102">
        <v>4.0396999999999998</v>
      </c>
      <c r="H171" s="104">
        <v>42370</v>
      </c>
      <c r="I171" s="115">
        <v>-7.4000000000000003E-3</v>
      </c>
      <c r="J171" s="106">
        <f t="shared" si="3"/>
        <v>6.9999999999999999E-4</v>
      </c>
      <c r="K171" s="106">
        <v>6.1000000000000004E-3</v>
      </c>
      <c r="L171" s="108">
        <v>1.7100000000000001E-2</v>
      </c>
      <c r="Q171" s="104">
        <v>42370</v>
      </c>
      <c r="R171" s="114">
        <v>2.8599999999999997E-2</v>
      </c>
      <c r="V171" s="104">
        <v>42370</v>
      </c>
      <c r="W171" s="110">
        <v>0.48770000000000002</v>
      </c>
    </row>
    <row r="172" spans="1:23">
      <c r="A172" s="104">
        <v>42401</v>
      </c>
      <c r="B172" s="102">
        <v>3.9895</v>
      </c>
      <c r="C172" s="102">
        <v>4.3959999999999999</v>
      </c>
      <c r="D172" s="102">
        <v>3.9565000000000001</v>
      </c>
      <c r="H172" s="104">
        <v>42401</v>
      </c>
      <c r="I172" s="115">
        <v>-7.4000000000000003E-3</v>
      </c>
      <c r="J172" s="106">
        <f t="shared" si="3"/>
        <v>6.9999999999999999E-4</v>
      </c>
      <c r="K172" s="106">
        <f t="shared" si="5"/>
        <v>6.1000000000000004E-3</v>
      </c>
      <c r="L172" s="108">
        <v>1.6899999999999998E-2</v>
      </c>
      <c r="Q172" s="104">
        <v>42401</v>
      </c>
      <c r="R172" s="114">
        <v>2.9400000000000003E-2</v>
      </c>
      <c r="V172" s="104">
        <v>42401</v>
      </c>
      <c r="W172" s="110">
        <v>0.48920000000000002</v>
      </c>
    </row>
    <row r="173" spans="1:23">
      <c r="A173" s="104">
        <v>42430</v>
      </c>
      <c r="B173" s="102">
        <v>3.9310999999999998</v>
      </c>
      <c r="C173" s="102">
        <v>4.2934000000000001</v>
      </c>
      <c r="D173" s="102">
        <v>3.8643999999999998</v>
      </c>
      <c r="H173" s="104">
        <v>42430</v>
      </c>
      <c r="I173" s="115">
        <v>-7.4000000000000003E-3</v>
      </c>
      <c r="J173" s="106">
        <v>2E-3</v>
      </c>
      <c r="K173" s="106">
        <f t="shared" si="5"/>
        <v>6.1000000000000004E-3</v>
      </c>
      <c r="L173" s="108">
        <v>1.67E-2</v>
      </c>
      <c r="Q173" s="104">
        <v>42430</v>
      </c>
      <c r="R173" s="114">
        <v>2.9699999999999997E-2</v>
      </c>
      <c r="V173" s="104">
        <v>42430</v>
      </c>
      <c r="W173" s="110">
        <v>0.48770000000000002</v>
      </c>
    </row>
    <row r="174" spans="1:23">
      <c r="A174" s="104">
        <v>42461</v>
      </c>
      <c r="B174" s="102">
        <v>3.9310999999999998</v>
      </c>
      <c r="C174" s="102">
        <v>4.3068</v>
      </c>
      <c r="D174" s="102">
        <v>3.7985000000000002</v>
      </c>
      <c r="H174" s="104">
        <v>42461</v>
      </c>
      <c r="I174" s="115">
        <v>-7.4000000000000003E-3</v>
      </c>
      <c r="J174" s="106">
        <f t="shared" si="3"/>
        <v>2E-3</v>
      </c>
      <c r="K174" s="106">
        <f t="shared" si="5"/>
        <v>6.1000000000000004E-3</v>
      </c>
      <c r="L174" s="108">
        <v>1.67E-2</v>
      </c>
      <c r="Q174" s="104">
        <v>42461</v>
      </c>
      <c r="R174" s="114">
        <v>3.0699999999999998E-2</v>
      </c>
      <c r="V174" s="104">
        <v>42461</v>
      </c>
      <c r="W174" s="110">
        <v>0.48330000000000001</v>
      </c>
    </row>
    <row r="175" spans="1:23">
      <c r="A175" s="104">
        <v>42491</v>
      </c>
      <c r="B175" s="105">
        <v>3.9874000000000001</v>
      </c>
      <c r="C175" s="105">
        <v>4.4076000000000004</v>
      </c>
      <c r="D175" s="102">
        <v>3.8990999999999998</v>
      </c>
      <c r="H175" s="104">
        <v>42491</v>
      </c>
      <c r="I175" s="115">
        <v>-7.4000000000000003E-3</v>
      </c>
      <c r="J175" s="106">
        <f t="shared" si="3"/>
        <v>2E-3</v>
      </c>
      <c r="K175" s="106">
        <f t="shared" si="5"/>
        <v>6.1000000000000004E-3</v>
      </c>
      <c r="L175" s="108">
        <v>1.67E-2</v>
      </c>
      <c r="Q175" s="104">
        <v>42491</v>
      </c>
      <c r="R175" s="114">
        <v>2.9699999999999997E-2</v>
      </c>
      <c r="V175" s="104">
        <v>42491</v>
      </c>
      <c r="W175" s="110">
        <v>0.48180000000000001</v>
      </c>
    </row>
    <row r="176" spans="1:23">
      <c r="A176" s="104">
        <v>42522</v>
      </c>
      <c r="B176" s="105">
        <v>4.0373999999999999</v>
      </c>
      <c r="C176" s="105">
        <v>4.4019000000000004</v>
      </c>
      <c r="D176" s="102">
        <v>3.92</v>
      </c>
      <c r="H176" s="104">
        <v>42522</v>
      </c>
      <c r="I176" s="115">
        <v>-7.4000000000000003E-3</v>
      </c>
      <c r="J176" s="106">
        <f t="shared" si="3"/>
        <v>2E-3</v>
      </c>
      <c r="K176" s="106">
        <f t="shared" si="5"/>
        <v>6.1000000000000004E-3</v>
      </c>
      <c r="L176" s="108">
        <v>1.6899999999999998E-2</v>
      </c>
      <c r="Q176" s="104">
        <v>42522</v>
      </c>
      <c r="R176" s="114">
        <v>2.9100000000000001E-2</v>
      </c>
      <c r="V176" s="104">
        <v>42522</v>
      </c>
      <c r="W176" s="110">
        <v>0.4788</v>
      </c>
    </row>
    <row r="177" spans="1:23">
      <c r="A177" s="104">
        <v>42552</v>
      </c>
      <c r="B177" s="105">
        <v>4.0465</v>
      </c>
      <c r="C177" s="105">
        <v>4.3966000000000003</v>
      </c>
      <c r="D177" s="102">
        <v>3.9706999999999999</v>
      </c>
      <c r="H177" s="104">
        <v>42552</v>
      </c>
      <c r="I177" s="115">
        <v>-7.4000000000000003E-3</v>
      </c>
      <c r="J177" s="106">
        <v>-2E-3</v>
      </c>
      <c r="K177" s="106">
        <f t="shared" si="5"/>
        <v>6.1000000000000004E-3</v>
      </c>
      <c r="L177" s="108">
        <v>1.7100000000000001E-2</v>
      </c>
      <c r="Q177" s="104">
        <v>42552</v>
      </c>
      <c r="R177" s="114">
        <v>2.8599999999999997E-2</v>
      </c>
      <c r="V177" s="104">
        <v>42552</v>
      </c>
      <c r="W177" s="110">
        <v>0.48330000000000001</v>
      </c>
    </row>
    <row r="178" spans="1:23">
      <c r="A178" s="104">
        <v>42583</v>
      </c>
      <c r="B178" s="105">
        <v>3.9548999999999999</v>
      </c>
      <c r="C178" s="105">
        <v>4.3003</v>
      </c>
      <c r="D178" s="102">
        <v>3.8353999999999999</v>
      </c>
      <c r="H178" s="104">
        <v>42583</v>
      </c>
      <c r="I178" s="115">
        <v>-7.4000000000000003E-3</v>
      </c>
      <c r="J178" s="106">
        <v>-3.0000000000000001E-3</v>
      </c>
      <c r="K178" s="106">
        <v>7.6E-3</v>
      </c>
      <c r="L178" s="108">
        <v>1.7100000000000001E-2</v>
      </c>
      <c r="Q178" s="104">
        <v>42583</v>
      </c>
      <c r="R178" s="114">
        <v>2.8300000000000002E-2</v>
      </c>
      <c r="V178" s="104">
        <v>42583</v>
      </c>
      <c r="W178" s="110">
        <v>0.48630000000000001</v>
      </c>
    </row>
    <row r="179" spans="1:23">
      <c r="A179" s="104">
        <v>42614</v>
      </c>
      <c r="B179" s="105">
        <v>3.9586000000000001</v>
      </c>
      <c r="C179" s="105">
        <v>4.3250000000000002</v>
      </c>
      <c r="D179" s="102">
        <v>3.8567</v>
      </c>
      <c r="H179" s="104">
        <v>42614</v>
      </c>
      <c r="I179" s="115">
        <v>-7.4000000000000003E-3</v>
      </c>
      <c r="J179" s="106">
        <f t="shared" si="3"/>
        <v>-3.0000000000000001E-3</v>
      </c>
      <c r="K179" s="106">
        <f t="shared" si="5"/>
        <v>7.6E-3</v>
      </c>
      <c r="L179" s="108">
        <v>1.7100000000000001E-2</v>
      </c>
      <c r="Q179" s="104">
        <v>42614</v>
      </c>
      <c r="R179" s="114">
        <v>2.8000000000000001E-2</v>
      </c>
      <c r="V179" s="104">
        <v>42614</v>
      </c>
      <c r="W179" s="110">
        <v>0.48630000000000001</v>
      </c>
    </row>
    <row r="180" spans="1:23">
      <c r="A180" s="104">
        <v>42644</v>
      </c>
      <c r="B180" s="102">
        <v>3.9615</v>
      </c>
      <c r="C180" s="102">
        <v>4.3086000000000002</v>
      </c>
      <c r="D180" s="102">
        <v>3.9075000000000002</v>
      </c>
      <c r="H180" s="104">
        <v>42644</v>
      </c>
      <c r="I180" s="115">
        <v>-7.4000000000000003E-3</v>
      </c>
      <c r="J180" s="106">
        <f t="shared" si="3"/>
        <v>-3.0000000000000001E-3</v>
      </c>
      <c r="K180" s="106">
        <v>8.8999999999999999E-3</v>
      </c>
      <c r="L180" s="108">
        <v>1.72E-2</v>
      </c>
      <c r="Q180" s="104">
        <v>42644</v>
      </c>
      <c r="R180" s="114">
        <v>2.8400000000000002E-2</v>
      </c>
      <c r="V180" s="104">
        <v>42644</v>
      </c>
      <c r="W180" s="110">
        <v>0.47889999999999999</v>
      </c>
    </row>
    <row r="181" spans="1:23">
      <c r="A181" s="104">
        <v>42675</v>
      </c>
      <c r="B181" s="102">
        <v>4.0749000000000004</v>
      </c>
      <c r="C181" s="102">
        <v>4.3838999999999997</v>
      </c>
      <c r="D181" s="102">
        <v>4.0599999999999996</v>
      </c>
      <c r="H181" s="104">
        <v>42675</v>
      </c>
      <c r="I181" s="115">
        <v>-7.4000000000000003E-3</v>
      </c>
      <c r="J181" s="106">
        <f t="shared" si="3"/>
        <v>-3.0000000000000001E-3</v>
      </c>
      <c r="K181" s="106">
        <f t="shared" si="5"/>
        <v>8.8999999999999999E-3</v>
      </c>
      <c r="L181" s="108">
        <v>1.7299999999999999E-2</v>
      </c>
      <c r="Q181" s="104">
        <v>42675</v>
      </c>
      <c r="R181" s="114">
        <v>2.7600000000000003E-2</v>
      </c>
      <c r="V181" s="104">
        <v>42675</v>
      </c>
      <c r="W181" s="110">
        <v>0.47739999999999999</v>
      </c>
    </row>
    <row r="182" spans="1:23">
      <c r="A182" s="104">
        <v>42705</v>
      </c>
      <c r="B182" s="102">
        <v>4.1256000000000004</v>
      </c>
      <c r="C182" s="102">
        <v>4.4371</v>
      </c>
      <c r="D182" s="102">
        <v>4.2049000000000003</v>
      </c>
      <c r="H182" s="104">
        <v>42705</v>
      </c>
      <c r="I182" s="115">
        <v>-7.4000000000000003E-3</v>
      </c>
      <c r="J182" s="106">
        <f t="shared" si="3"/>
        <v>-3.0000000000000001E-3</v>
      </c>
      <c r="K182" s="106">
        <f t="shared" si="5"/>
        <v>8.8999999999999999E-3</v>
      </c>
      <c r="L182" s="108">
        <v>1.7299999999999999E-2</v>
      </c>
      <c r="Q182" s="104">
        <v>42705</v>
      </c>
      <c r="R182" s="114">
        <v>2.7899999999999998E-2</v>
      </c>
      <c r="V182" s="104">
        <v>42705</v>
      </c>
      <c r="W182" s="110">
        <v>0.46710000000000002</v>
      </c>
    </row>
    <row r="183" spans="1:23">
      <c r="A183" s="104">
        <v>42736</v>
      </c>
      <c r="B183" s="102">
        <v>4.0792000000000002</v>
      </c>
      <c r="C183" s="102">
        <v>4.3705999999999996</v>
      </c>
      <c r="D183" s="102">
        <v>4.1166</v>
      </c>
      <c r="H183" s="104">
        <v>42736</v>
      </c>
      <c r="I183" s="115">
        <v>-7.4000000000000003E-3</v>
      </c>
      <c r="J183" s="106">
        <f t="shared" si="3"/>
        <v>-3.0000000000000001E-3</v>
      </c>
      <c r="K183" s="106">
        <f t="shared" si="5"/>
        <v>8.8999999999999999E-3</v>
      </c>
      <c r="L183" s="108">
        <v>1.7299999999999999E-2</v>
      </c>
      <c r="Q183" s="104">
        <v>42736</v>
      </c>
      <c r="R183" s="114">
        <v>2.7600000000000003E-2</v>
      </c>
      <c r="V183" s="104">
        <v>42736</v>
      </c>
      <c r="W183" s="110">
        <v>0.46129999999999999</v>
      </c>
    </row>
    <row r="184" spans="1:23">
      <c r="A184" s="104">
        <v>42767</v>
      </c>
      <c r="B184" s="102">
        <v>4.0423999999999998</v>
      </c>
      <c r="C184" s="102">
        <v>4.3097000000000003</v>
      </c>
      <c r="D184" s="102">
        <v>4.0487000000000002</v>
      </c>
      <c r="H184" s="104">
        <v>42767</v>
      </c>
      <c r="I184" s="115">
        <v>-7.4000000000000003E-3</v>
      </c>
      <c r="J184" s="106">
        <f t="shared" si="3"/>
        <v>-3.0000000000000001E-3</v>
      </c>
      <c r="K184" s="106">
        <v>0.01</v>
      </c>
      <c r="L184" s="108">
        <v>1.7299999999999999E-2</v>
      </c>
      <c r="Q184" s="104">
        <v>42767</v>
      </c>
      <c r="R184" s="114">
        <v>2.8399999999999998E-2</v>
      </c>
      <c r="V184" s="104">
        <v>42767</v>
      </c>
      <c r="W184" s="110">
        <v>0.45689999999999997</v>
      </c>
    </row>
    <row r="185" spans="1:23">
      <c r="A185" s="104">
        <v>42795</v>
      </c>
      <c r="B185" s="102">
        <v>4.0087999999999999</v>
      </c>
      <c r="C185" s="102">
        <v>4.2920999999999996</v>
      </c>
      <c r="D185" s="102">
        <v>4.0183999999999997</v>
      </c>
      <c r="H185" s="104">
        <v>42795</v>
      </c>
      <c r="I185" s="115">
        <v>-7.4000000000000003E-3</v>
      </c>
      <c r="J185" s="106">
        <f t="shared" si="3"/>
        <v>-3.0000000000000001E-3</v>
      </c>
      <c r="K185" s="106">
        <f t="shared" si="5"/>
        <v>0.01</v>
      </c>
      <c r="L185" s="108">
        <v>1.7299999999999999E-2</v>
      </c>
      <c r="Q185" s="104">
        <v>42795</v>
      </c>
      <c r="R185" s="114">
        <v>2.7600000000000003E-2</v>
      </c>
      <c r="V185" s="104">
        <v>42795</v>
      </c>
      <c r="W185" s="110">
        <v>0.45839999999999997</v>
      </c>
    </row>
    <row r="186" spans="1:23">
      <c r="A186" s="104">
        <v>42826</v>
      </c>
      <c r="B186" s="102">
        <v>3.9533999999999998</v>
      </c>
      <c r="C186" s="102">
        <v>4.2385000000000002</v>
      </c>
      <c r="D186" s="102">
        <v>3.9561999999999999</v>
      </c>
      <c r="H186" s="104">
        <v>42826</v>
      </c>
      <c r="I186" s="115">
        <v>-7.4000000000000003E-3</v>
      </c>
      <c r="J186" s="106">
        <f t="shared" si="3"/>
        <v>-3.0000000000000001E-3</v>
      </c>
      <c r="K186" s="106">
        <v>1.15E-2</v>
      </c>
      <c r="L186" s="108">
        <v>1.7299999999999999E-2</v>
      </c>
      <c r="Q186" s="104">
        <v>42826</v>
      </c>
      <c r="R186" s="114">
        <v>2.7399999999999997E-2</v>
      </c>
      <c r="V186" s="104">
        <v>42826</v>
      </c>
      <c r="W186" s="110">
        <v>0.45400000000000001</v>
      </c>
    </row>
    <row r="187" spans="1:23">
      <c r="A187" s="104">
        <v>42856</v>
      </c>
      <c r="B187" s="102">
        <v>3.8580000000000001</v>
      </c>
      <c r="C187" s="102">
        <v>4.2039999999999997</v>
      </c>
      <c r="D187" s="102">
        <v>3.8069999999999999</v>
      </c>
      <c r="H187" s="104">
        <v>42856</v>
      </c>
      <c r="I187" s="115">
        <v>-7.4000000000000003E-3</v>
      </c>
      <c r="J187" s="106">
        <f t="shared" si="3"/>
        <v>-3.0000000000000001E-3</v>
      </c>
      <c r="K187" s="106">
        <f t="shared" si="5"/>
        <v>1.15E-2</v>
      </c>
      <c r="L187" s="108">
        <v>1.7299999999999999E-2</v>
      </c>
      <c r="Q187" s="104">
        <v>42856</v>
      </c>
      <c r="R187" s="114">
        <v>2.7800000000000002E-2</v>
      </c>
      <c r="V187" s="104">
        <v>42856</v>
      </c>
      <c r="W187" s="110">
        <v>0.45400000000000001</v>
      </c>
    </row>
    <row r="188" spans="1:23">
      <c r="A188" s="104">
        <v>42887</v>
      </c>
      <c r="B188" s="102">
        <v>3.8708</v>
      </c>
      <c r="C188" s="102">
        <v>4.2083000000000004</v>
      </c>
      <c r="D188" s="102">
        <v>3.7504</v>
      </c>
      <c r="H188" s="104">
        <v>42887</v>
      </c>
      <c r="I188" s="115">
        <v>-7.4000000000000003E-3</v>
      </c>
      <c r="J188" s="106">
        <f t="shared" si="3"/>
        <v>-3.0000000000000001E-3</v>
      </c>
      <c r="K188" s="106">
        <f t="shared" si="5"/>
        <v>1.15E-2</v>
      </c>
      <c r="L188" s="108">
        <v>1.7299999999999999E-2</v>
      </c>
      <c r="Q188" s="104">
        <v>42887</v>
      </c>
      <c r="R188" s="114">
        <v>2.7E-2</v>
      </c>
      <c r="V188" s="104">
        <v>42887</v>
      </c>
      <c r="W188" s="110">
        <v>0.45689999999999997</v>
      </c>
    </row>
    <row r="189" spans="1:23">
      <c r="A189" s="104">
        <v>42917</v>
      </c>
      <c r="B189" s="102">
        <v>3.8290999999999999</v>
      </c>
      <c r="C189" s="102">
        <v>4.2361000000000004</v>
      </c>
      <c r="D189" s="102">
        <v>3.6804999999999999</v>
      </c>
      <c r="H189" s="104">
        <v>42917</v>
      </c>
      <c r="I189" s="115">
        <v>-7.4000000000000003E-3</v>
      </c>
      <c r="J189" s="106">
        <f t="shared" si="3"/>
        <v>-3.0000000000000001E-3</v>
      </c>
      <c r="K189" s="106">
        <v>1.2999999999999999E-2</v>
      </c>
      <c r="L189" s="108">
        <v>1.7299999999999999E-2</v>
      </c>
      <c r="Q189" s="104">
        <v>42917</v>
      </c>
      <c r="R189" s="114">
        <v>2.6900000000000004E-2</v>
      </c>
      <c r="V189" s="104">
        <v>42917</v>
      </c>
      <c r="W189" s="110">
        <v>0.45979999999999999</v>
      </c>
    </row>
    <row r="190" spans="1:23">
      <c r="A190" s="104">
        <v>42948</v>
      </c>
      <c r="B190" s="102">
        <v>3.7471000000000001</v>
      </c>
      <c r="C190" s="102">
        <v>4.2664999999999997</v>
      </c>
      <c r="D190" s="102">
        <v>3.6126999999999998</v>
      </c>
      <c r="H190" s="104">
        <v>42948</v>
      </c>
      <c r="I190" s="115">
        <v>-7.4000000000000003E-3</v>
      </c>
      <c r="J190" s="106">
        <f t="shared" si="3"/>
        <v>-3.0000000000000001E-3</v>
      </c>
      <c r="K190" s="106">
        <f t="shared" si="5"/>
        <v>1.2999999999999999E-2</v>
      </c>
      <c r="L190" s="108">
        <v>1.7299999999999999E-2</v>
      </c>
      <c r="Q190" s="104">
        <v>42948</v>
      </c>
      <c r="R190" s="114">
        <v>2.7100000000000003E-2</v>
      </c>
      <c r="V190" s="104">
        <v>42948</v>
      </c>
      <c r="W190" s="110">
        <v>0.46129999999999999</v>
      </c>
    </row>
    <row r="191" spans="1:23">
      <c r="A191" s="104">
        <v>42979</v>
      </c>
      <c r="B191" s="102">
        <v>3.722</v>
      </c>
      <c r="C191" s="102">
        <v>4.2702</v>
      </c>
      <c r="D191" s="102">
        <v>3.5798999999999999</v>
      </c>
      <c r="H191" s="104">
        <v>42979</v>
      </c>
      <c r="I191" s="115">
        <v>-7.4000000000000003E-3</v>
      </c>
      <c r="J191" s="106">
        <f t="shared" si="3"/>
        <v>-3.0000000000000001E-3</v>
      </c>
      <c r="K191" s="106">
        <f t="shared" si="5"/>
        <v>1.2999999999999999E-2</v>
      </c>
      <c r="L191" s="108">
        <v>1.7299999999999999E-2</v>
      </c>
      <c r="Q191" s="104">
        <v>42979</v>
      </c>
      <c r="R191" s="114">
        <v>2.7699999999999999E-2</v>
      </c>
      <c r="V191" s="104">
        <v>42979</v>
      </c>
      <c r="W191" s="110">
        <v>0.45550000000000002</v>
      </c>
    </row>
    <row r="192" spans="1:23">
      <c r="A192" s="104">
        <v>43009</v>
      </c>
      <c r="B192" s="102">
        <v>3.6968000000000001</v>
      </c>
      <c r="C192" s="102">
        <v>4.2667999999999999</v>
      </c>
      <c r="D192" s="102">
        <v>3.6303000000000001</v>
      </c>
      <c r="H192" s="104">
        <v>43009</v>
      </c>
      <c r="I192" s="115">
        <v>-7.4000000000000003E-3</v>
      </c>
      <c r="J192" s="106">
        <f t="shared" si="3"/>
        <v>-3.0000000000000001E-3</v>
      </c>
      <c r="K192" s="106">
        <f t="shared" si="5"/>
        <v>1.2999999999999999E-2</v>
      </c>
      <c r="L192" s="108">
        <v>1.7299999999999999E-2</v>
      </c>
      <c r="Q192" s="104">
        <v>43009</v>
      </c>
      <c r="R192" s="114">
        <v>2.7899999999999998E-2</v>
      </c>
      <c r="V192" s="104">
        <v>43009</v>
      </c>
      <c r="W192" s="110">
        <v>0.44819999999999999</v>
      </c>
    </row>
    <row r="193" spans="1:23">
      <c r="A193" s="104">
        <v>43040</v>
      </c>
      <c r="B193" s="102">
        <v>3.6328</v>
      </c>
      <c r="C193" s="102">
        <v>4.2293000000000003</v>
      </c>
      <c r="D193" s="102">
        <v>3.6031</v>
      </c>
      <c r="H193" s="104">
        <v>43040</v>
      </c>
      <c r="I193" s="115">
        <v>-7.4000000000000003E-3</v>
      </c>
      <c r="J193" s="106">
        <f t="shared" si="3"/>
        <v>-3.0000000000000001E-3</v>
      </c>
      <c r="K193" s="106">
        <f t="shared" si="5"/>
        <v>1.2999999999999999E-2</v>
      </c>
      <c r="L193" s="108">
        <v>1.7299999999999999E-2</v>
      </c>
      <c r="Q193" s="104">
        <v>43040</v>
      </c>
      <c r="R193" s="114">
        <v>2.7899999999999998E-2</v>
      </c>
      <c r="V193" s="104">
        <v>43040</v>
      </c>
      <c r="W193" s="110">
        <v>0.441</v>
      </c>
    </row>
    <row r="194" spans="1:23">
      <c r="A194" s="104">
        <v>43070</v>
      </c>
      <c r="B194" s="102">
        <v>3.5937999999999999</v>
      </c>
      <c r="C194" s="102">
        <v>4.2016</v>
      </c>
      <c r="D194" s="102">
        <v>3.5482</v>
      </c>
      <c r="H194" s="104">
        <v>43070</v>
      </c>
      <c r="I194" s="115">
        <v>-7.4000000000000003E-3</v>
      </c>
      <c r="J194" s="106">
        <f t="shared" si="3"/>
        <v>-3.0000000000000001E-3</v>
      </c>
      <c r="K194" s="106">
        <v>1.4800000000000001E-2</v>
      </c>
      <c r="L194" s="108">
        <v>1.72E-2</v>
      </c>
      <c r="Q194" s="104">
        <v>43070</v>
      </c>
      <c r="R194" s="114">
        <v>2.7900000000000001E-2</v>
      </c>
      <c r="V194" s="104">
        <v>43070</v>
      </c>
      <c r="W194" s="110">
        <v>0.43819999999999998</v>
      </c>
    </row>
    <row r="195" spans="1:23">
      <c r="A195" s="104">
        <v>43101</v>
      </c>
      <c r="B195" s="102">
        <v>3.5510999999999999</v>
      </c>
      <c r="C195" s="102">
        <v>4.1635999999999997</v>
      </c>
      <c r="D195" s="102">
        <v>3.4140999999999999</v>
      </c>
      <c r="H195" s="104">
        <v>43101</v>
      </c>
      <c r="I195" s="115">
        <v>-7.4000000000000003E-3</v>
      </c>
      <c r="J195" s="106">
        <f t="shared" si="3"/>
        <v>-3.0000000000000001E-3</v>
      </c>
      <c r="K195" s="106">
        <v>1.6899999999999998E-2</v>
      </c>
      <c r="L195" s="108">
        <v>1.72E-2</v>
      </c>
      <c r="Q195" s="104">
        <v>43101</v>
      </c>
      <c r="R195" s="114">
        <v>2.76E-2</v>
      </c>
      <c r="V195" s="104">
        <v>43101</v>
      </c>
      <c r="W195" s="110">
        <v>0.43390000000000001</v>
      </c>
    </row>
    <row r="196" spans="1:23">
      <c r="A196" s="104">
        <v>43132</v>
      </c>
      <c r="B196" s="102">
        <v>3.6114999999999999</v>
      </c>
      <c r="C196" s="102">
        <v>4.1683000000000003</v>
      </c>
      <c r="D196" s="102">
        <v>3.3700999999999999</v>
      </c>
      <c r="H196" s="104">
        <v>43132</v>
      </c>
      <c r="I196" s="115">
        <v>-7.4000000000000003E-3</v>
      </c>
      <c r="J196" s="106">
        <f t="shared" si="3"/>
        <v>-3.0000000000000001E-3</v>
      </c>
      <c r="K196" s="106">
        <f t="shared" si="5"/>
        <v>1.6899999999999998E-2</v>
      </c>
      <c r="L196" s="108">
        <v>1.72E-2</v>
      </c>
      <c r="Q196" s="104">
        <v>43132</v>
      </c>
      <c r="R196" s="114">
        <v>2.7999999999999997E-2</v>
      </c>
      <c r="V196" s="104">
        <v>43132</v>
      </c>
      <c r="W196" s="110">
        <v>0.43669999999999998</v>
      </c>
    </row>
    <row r="197" spans="1:23">
      <c r="A197" s="104">
        <v>43160</v>
      </c>
      <c r="B197" s="102">
        <v>3.6061999999999999</v>
      </c>
      <c r="C197" s="102">
        <v>4.2100999999999997</v>
      </c>
      <c r="D197" s="102">
        <v>3.4157999999999999</v>
      </c>
      <c r="H197" s="104">
        <v>43160</v>
      </c>
      <c r="I197" s="115">
        <v>-7.4000000000000003E-3</v>
      </c>
      <c r="J197" s="106">
        <f t="shared" si="3"/>
        <v>-3.0000000000000001E-3</v>
      </c>
      <c r="K197" s="106">
        <v>2.01E-2</v>
      </c>
      <c r="L197" s="108">
        <v>1.7100000000000001E-2</v>
      </c>
      <c r="Q197" s="104">
        <v>43160</v>
      </c>
      <c r="R197" s="114">
        <v>2.7E-2</v>
      </c>
      <c r="V197" s="104">
        <v>43160</v>
      </c>
      <c r="W197" s="110">
        <v>0.43819999999999998</v>
      </c>
    </row>
    <row r="198" spans="1:23">
      <c r="A198" s="104">
        <v>43191</v>
      </c>
      <c r="B198" s="102">
        <v>3.5305</v>
      </c>
      <c r="C198" s="102">
        <v>4.1947999999999999</v>
      </c>
      <c r="D198" s="102">
        <v>3.4188000000000001</v>
      </c>
      <c r="H198" s="104">
        <v>43191</v>
      </c>
      <c r="I198" s="115">
        <v>-7.4000000000000003E-3</v>
      </c>
      <c r="J198" s="106">
        <f t="shared" si="3"/>
        <v>-3.0000000000000001E-3</v>
      </c>
      <c r="K198" s="106">
        <v>2.3099999999999999E-2</v>
      </c>
      <c r="L198" s="108">
        <v>1.7000000000000001E-2</v>
      </c>
      <c r="Q198" s="104">
        <v>43191</v>
      </c>
      <c r="R198" s="114">
        <v>2.7499999999999997E-2</v>
      </c>
      <c r="V198" s="104">
        <v>43191</v>
      </c>
      <c r="W198" s="110">
        <v>0.43099999999999999</v>
      </c>
    </row>
    <row r="199" spans="1:23">
      <c r="A199" s="104">
        <v>43221</v>
      </c>
      <c r="B199" s="102">
        <v>3.6282999999999999</v>
      </c>
      <c r="C199" s="102">
        <v>4.282</v>
      </c>
      <c r="D199" s="102">
        <v>3.6183000000000001</v>
      </c>
      <c r="H199" s="104">
        <v>43221</v>
      </c>
      <c r="I199" s="115">
        <v>-7.4000000000000003E-3</v>
      </c>
      <c r="J199" s="106">
        <f t="shared" si="3"/>
        <v>-3.0000000000000001E-3</v>
      </c>
      <c r="K199" s="106">
        <f t="shared" si="5"/>
        <v>2.3099999999999999E-2</v>
      </c>
      <c r="L199" s="108">
        <v>1.7000000000000001E-2</v>
      </c>
      <c r="Q199" s="104">
        <v>43221</v>
      </c>
      <c r="R199" s="114">
        <v>2.7400000000000001E-2</v>
      </c>
      <c r="V199" s="104">
        <v>43221</v>
      </c>
      <c r="W199" s="110">
        <v>0.42820000000000003</v>
      </c>
    </row>
    <row r="200" spans="1:23">
      <c r="A200" s="104">
        <v>43252</v>
      </c>
      <c r="B200" s="102">
        <v>3.7269999999999999</v>
      </c>
      <c r="C200" s="102">
        <v>4.3053999999999997</v>
      </c>
      <c r="D200" s="102">
        <v>3.6876000000000002</v>
      </c>
      <c r="H200" s="104">
        <v>43252</v>
      </c>
      <c r="I200" s="115">
        <v>-7.4000000000000003E-3</v>
      </c>
      <c r="J200" s="106">
        <f t="shared" si="3"/>
        <v>-3.0000000000000001E-3</v>
      </c>
      <c r="K200" s="106">
        <f t="shared" si="5"/>
        <v>2.3099999999999999E-2</v>
      </c>
      <c r="L200" s="108">
        <v>1.7000000000000001E-2</v>
      </c>
      <c r="Q200" s="104">
        <v>43252</v>
      </c>
      <c r="R200" s="114">
        <v>2.7400000000000001E-2</v>
      </c>
      <c r="V200" s="104">
        <v>43252</v>
      </c>
      <c r="W200" s="110">
        <v>0.42670000000000002</v>
      </c>
    </row>
    <row r="201" spans="1:23">
      <c r="A201" s="104">
        <v>43283</v>
      </c>
      <c r="B201" s="102">
        <v>3.7263000000000002</v>
      </c>
      <c r="C201" s="102">
        <v>4.3300999999999998</v>
      </c>
      <c r="D201" s="102">
        <v>3.7094999999999998</v>
      </c>
      <c r="H201" s="104">
        <v>43283</v>
      </c>
      <c r="I201" s="115">
        <v>-7.4000000000000003E-3</v>
      </c>
      <c r="J201" s="106">
        <f t="shared" si="3"/>
        <v>-3.0000000000000001E-3</v>
      </c>
      <c r="K201" s="106">
        <f t="shared" si="5"/>
        <v>2.3099999999999999E-2</v>
      </c>
      <c r="L201" s="108">
        <v>1.7000000000000001E-2</v>
      </c>
      <c r="Q201" s="104">
        <v>43283</v>
      </c>
      <c r="R201" s="114">
        <v>2.7499999999999997E-2</v>
      </c>
      <c r="V201" s="104">
        <v>43283</v>
      </c>
      <c r="W201" s="110">
        <v>0.42959999999999998</v>
      </c>
    </row>
    <row r="202" spans="1:23">
      <c r="A202" s="104">
        <v>43315</v>
      </c>
      <c r="B202" s="102">
        <v>3.7566000000000002</v>
      </c>
      <c r="C202" s="102">
        <v>4.2873000000000001</v>
      </c>
      <c r="D202" s="102">
        <v>3.7174999999999998</v>
      </c>
      <c r="H202" s="104">
        <v>43315</v>
      </c>
      <c r="I202" s="115">
        <v>-7.4000000000000003E-3</v>
      </c>
      <c r="J202" s="106">
        <f t="shared" si="3"/>
        <v>-3.0000000000000001E-3</v>
      </c>
      <c r="K202" s="106">
        <f t="shared" si="5"/>
        <v>2.3099999999999999E-2</v>
      </c>
      <c r="L202" s="108">
        <v>1.7000000000000001E-2</v>
      </c>
      <c r="Q202" s="104">
        <v>43315</v>
      </c>
      <c r="R202" s="114">
        <v>2.7499999999999997E-2</v>
      </c>
      <c r="V202" s="104">
        <v>43315</v>
      </c>
      <c r="W202" s="110">
        <v>0.42959999999999998</v>
      </c>
    </row>
    <row r="203" spans="1:23">
      <c r="A203" s="104">
        <v>43347</v>
      </c>
      <c r="B203" s="102">
        <v>3.8086000000000002</v>
      </c>
      <c r="C203" s="102">
        <v>4.2991999999999999</v>
      </c>
      <c r="D203" s="102">
        <v>3.6837</v>
      </c>
      <c r="H203" s="104">
        <v>43347</v>
      </c>
      <c r="I203" s="115">
        <v>-7.4000000000000003E-3</v>
      </c>
      <c r="J203" s="106">
        <f t="shared" si="3"/>
        <v>-3.0000000000000001E-3</v>
      </c>
      <c r="K203" s="106">
        <f t="shared" si="5"/>
        <v>2.3099999999999999E-2</v>
      </c>
      <c r="L203" s="108">
        <v>1.72E-2</v>
      </c>
      <c r="Q203" s="104">
        <v>43347</v>
      </c>
      <c r="R203" s="114">
        <v>2.7700000000000002E-2</v>
      </c>
      <c r="V203" s="104">
        <v>43347</v>
      </c>
      <c r="W203" s="110">
        <v>0.42670000000000002</v>
      </c>
    </row>
    <row r="204" spans="1:23">
      <c r="A204" s="104">
        <v>43374</v>
      </c>
      <c r="B204" s="102">
        <v>3.7723</v>
      </c>
      <c r="C204" s="102">
        <v>4.306</v>
      </c>
      <c r="D204" s="102">
        <v>3.7494999999999998</v>
      </c>
      <c r="H204" s="104">
        <v>43374</v>
      </c>
      <c r="I204" s="115">
        <v>-7.4000000000000003E-3</v>
      </c>
      <c r="J204" s="106">
        <f t="shared" si="3"/>
        <v>-3.0000000000000001E-3</v>
      </c>
      <c r="K204" s="106">
        <f t="shared" si="5"/>
        <v>2.3099999999999999E-2</v>
      </c>
      <c r="L204" s="108">
        <v>1.72E-2</v>
      </c>
      <c r="Q204" s="104">
        <v>43374</v>
      </c>
      <c r="R204" s="114">
        <v>2.7900000000000001E-2</v>
      </c>
      <c r="V204" s="104">
        <v>43374</v>
      </c>
      <c r="W204" s="110">
        <v>0.42109999999999997</v>
      </c>
    </row>
    <row r="205" spans="1:23">
      <c r="A205" s="104">
        <v>43405</v>
      </c>
      <c r="B205" s="102">
        <v>3.7808000000000002</v>
      </c>
      <c r="C205" s="102">
        <v>4.3029000000000002</v>
      </c>
      <c r="D205" s="102">
        <v>3.7866</v>
      </c>
      <c r="H205" s="104">
        <v>43405</v>
      </c>
      <c r="I205" s="115">
        <v>-7.4000000000000003E-3</v>
      </c>
      <c r="J205" s="106">
        <f t="shared" si="3"/>
        <v>-3.0000000000000001E-3</v>
      </c>
      <c r="K205" s="106">
        <v>2.5399999999999999E-2</v>
      </c>
      <c r="L205" s="108">
        <v>1.72E-2</v>
      </c>
      <c r="Q205" s="104">
        <v>43405</v>
      </c>
      <c r="R205" s="114">
        <v>2.7900000000000001E-2</v>
      </c>
      <c r="V205" s="104">
        <v>43405</v>
      </c>
      <c r="W205" s="110">
        <v>0.42109999999999997</v>
      </c>
    </row>
    <row r="206" spans="1:23">
      <c r="A206" s="104">
        <v>43435</v>
      </c>
      <c r="B206" s="102">
        <v>3.7974999999999999</v>
      </c>
      <c r="C206" s="102">
        <v>4.2904999999999998</v>
      </c>
      <c r="D206" s="102">
        <v>3.7690999999999999</v>
      </c>
      <c r="H206" s="104">
        <v>43435</v>
      </c>
      <c r="I206" s="115">
        <v>-7.4000000000000003E-3</v>
      </c>
      <c r="J206" s="106">
        <f t="shared" si="3"/>
        <v>-3.0000000000000001E-3</v>
      </c>
      <c r="K206" s="106">
        <v>2.7400000000000001E-2</v>
      </c>
      <c r="L206" s="108">
        <v>1.72E-2</v>
      </c>
      <c r="Q206" s="104">
        <v>43435</v>
      </c>
      <c r="R206" s="114">
        <v>2.76E-2</v>
      </c>
      <c r="V206" s="104">
        <v>43435</v>
      </c>
      <c r="W206" s="110">
        <v>0.42109999999999997</v>
      </c>
    </row>
    <row r="207" spans="1:23">
      <c r="A207" s="104">
        <v>43466</v>
      </c>
      <c r="B207" s="102">
        <v>3.8033000000000001</v>
      </c>
      <c r="C207" s="102">
        <v>4.2953999999999999</v>
      </c>
      <c r="D207" s="102">
        <v>3.7616999999999998</v>
      </c>
      <c r="H207" s="104">
        <v>43466</v>
      </c>
      <c r="I207" s="115">
        <v>-7.4000000000000003E-3</v>
      </c>
      <c r="J207" s="106">
        <f t="shared" si="3"/>
        <v>-3.0000000000000001E-3</v>
      </c>
      <c r="K207" s="106">
        <f t="shared" si="5"/>
        <v>2.7400000000000001E-2</v>
      </c>
      <c r="L207" s="108">
        <v>1.72E-2</v>
      </c>
      <c r="Q207" s="104">
        <v>43466</v>
      </c>
      <c r="R207" s="114">
        <v>2.7499999999999997E-2</v>
      </c>
      <c r="V207" s="104">
        <v>43466</v>
      </c>
      <c r="W207" s="110">
        <v>0.4239</v>
      </c>
    </row>
    <row r="208" spans="1:23">
      <c r="A208" s="104">
        <v>43497</v>
      </c>
      <c r="B208" s="102">
        <v>3.7974999999999999</v>
      </c>
      <c r="C208" s="102">
        <v>4.3156999999999996</v>
      </c>
      <c r="D208" s="102">
        <v>3.8022999999999998</v>
      </c>
      <c r="H208" s="104">
        <v>43497</v>
      </c>
      <c r="I208" s="115">
        <v>-7.4000000000000003E-3</v>
      </c>
      <c r="J208" s="106">
        <f t="shared" si="3"/>
        <v>-3.0000000000000001E-3</v>
      </c>
      <c r="K208" s="106">
        <f t="shared" si="5"/>
        <v>2.7400000000000001E-2</v>
      </c>
      <c r="L208" s="108">
        <v>1.72E-2</v>
      </c>
      <c r="Q208" s="104">
        <v>43497</v>
      </c>
      <c r="R208" s="114">
        <v>2.76E-2</v>
      </c>
      <c r="V208" s="104">
        <v>43497</v>
      </c>
      <c r="W208" s="110">
        <v>0.41820000000000002</v>
      </c>
    </row>
    <row r="209" spans="1:23">
      <c r="A209" s="104">
        <v>43525</v>
      </c>
      <c r="B209" s="102">
        <v>3.8018999999999998</v>
      </c>
      <c r="C209" s="102">
        <v>4.2995999999999999</v>
      </c>
      <c r="D209" s="102">
        <v>3.8052000000000001</v>
      </c>
      <c r="H209" s="104">
        <v>43525</v>
      </c>
      <c r="I209" s="115">
        <v>-7.4000000000000003E-3</v>
      </c>
      <c r="J209" s="106">
        <f t="shared" si="3"/>
        <v>-3.0000000000000001E-3</v>
      </c>
      <c r="K209" s="106">
        <v>2.63E-2</v>
      </c>
      <c r="L209" s="108">
        <v>1.72E-2</v>
      </c>
      <c r="Q209" s="104">
        <v>43525</v>
      </c>
      <c r="R209" s="114">
        <v>2.6799999999999997E-2</v>
      </c>
      <c r="V209" s="104">
        <v>43525</v>
      </c>
      <c r="W209" s="110">
        <v>0.41399999999999998</v>
      </c>
    </row>
    <row r="210" spans="1:23">
      <c r="A210" s="104">
        <v>43556</v>
      </c>
      <c r="B210" s="102">
        <v>3.786</v>
      </c>
      <c r="C210" s="102">
        <v>4.2873999999999999</v>
      </c>
      <c r="D210" s="102">
        <v>3.8144999999999998</v>
      </c>
      <c r="H210" s="104">
        <v>43556</v>
      </c>
      <c r="I210" s="115">
        <v>-7.4000000000000003E-3</v>
      </c>
      <c r="J210" s="106">
        <f t="shared" si="3"/>
        <v>-3.0000000000000001E-3</v>
      </c>
      <c r="K210" s="106">
        <f t="shared" si="5"/>
        <v>2.63E-2</v>
      </c>
      <c r="L210" s="108">
        <v>1.72E-2</v>
      </c>
      <c r="Q210" s="104">
        <v>43556</v>
      </c>
      <c r="R210" s="114">
        <v>2.7000000000000003E-2</v>
      </c>
      <c r="V210" s="104">
        <v>43556</v>
      </c>
      <c r="W210" s="110">
        <v>0.39860000000000001</v>
      </c>
    </row>
    <row r="211" spans="1:23">
      <c r="A211" s="104">
        <v>43586</v>
      </c>
      <c r="B211" s="102">
        <v>3.7978000000000001</v>
      </c>
      <c r="C211" s="102">
        <v>4.2965</v>
      </c>
      <c r="D211" s="102">
        <v>3.8393000000000002</v>
      </c>
      <c r="H211" s="104">
        <v>43586</v>
      </c>
      <c r="I211" s="115">
        <v>-7.4000000000000003E-3</v>
      </c>
      <c r="J211" s="106">
        <f t="shared" si="3"/>
        <v>-3.0000000000000001E-3</v>
      </c>
      <c r="K211" s="106">
        <f t="shared" si="5"/>
        <v>2.63E-2</v>
      </c>
      <c r="L211" s="108">
        <v>1.72E-2</v>
      </c>
      <c r="Q211" s="104">
        <v>43586</v>
      </c>
      <c r="R211" s="114">
        <v>2.6700000000000002E-2</v>
      </c>
      <c r="V211" s="104">
        <v>43586</v>
      </c>
      <c r="W211" s="110">
        <v>0.39579999999999999</v>
      </c>
    </row>
    <row r="212" spans="1:23">
      <c r="A212" s="104">
        <v>43617</v>
      </c>
      <c r="B212" s="102">
        <v>3.82</v>
      </c>
      <c r="C212" s="102">
        <v>4.266</v>
      </c>
      <c r="D212" s="102">
        <v>3.7810999999999999</v>
      </c>
      <c r="H212" s="104">
        <v>43617</v>
      </c>
      <c r="I212" s="115">
        <v>-7.4000000000000003E-3</v>
      </c>
      <c r="J212" s="106">
        <f t="shared" si="3"/>
        <v>-3.0000000000000001E-3</v>
      </c>
      <c r="K212" s="106">
        <v>2.52E-2</v>
      </c>
      <c r="L212" s="108">
        <v>1.72E-2</v>
      </c>
      <c r="Q212" s="104">
        <v>43617</v>
      </c>
      <c r="R212" s="114">
        <v>2.6500000000000003E-2</v>
      </c>
      <c r="V212" s="104">
        <v>43617</v>
      </c>
      <c r="W212" s="110">
        <v>0.3916</v>
      </c>
    </row>
    <row r="213" spans="1:23">
      <c r="A213" s="104">
        <v>43647</v>
      </c>
      <c r="B213" s="102">
        <v>3.8441999999999998</v>
      </c>
      <c r="C213" s="102">
        <v>4.2598000000000003</v>
      </c>
      <c r="D213" s="102">
        <v>3.7959000000000001</v>
      </c>
      <c r="H213" s="104">
        <v>43647</v>
      </c>
      <c r="I213" s="115">
        <v>-7.4000000000000003E-3</v>
      </c>
      <c r="J213" s="106">
        <f t="shared" si="3"/>
        <v>-3.0000000000000001E-3</v>
      </c>
      <c r="K213" s="106">
        <v>2.3199999999999998E-2</v>
      </c>
      <c r="L213" s="108">
        <v>1.72E-2</v>
      </c>
      <c r="Q213" s="104">
        <v>43647</v>
      </c>
      <c r="R213" s="114">
        <v>2.7099999999999999E-2</v>
      </c>
      <c r="V213" s="104">
        <v>43647</v>
      </c>
      <c r="W213" s="110">
        <v>0.3916</v>
      </c>
    </row>
    <row r="214" spans="1:23">
      <c r="A214" s="104">
        <v>43678</v>
      </c>
      <c r="B214" s="102">
        <v>3.9843999999999999</v>
      </c>
      <c r="C214" s="102">
        <v>4.3437000000000001</v>
      </c>
      <c r="D214" s="102">
        <v>3.9066999999999998</v>
      </c>
      <c r="H214" s="104">
        <v>43678</v>
      </c>
      <c r="I214" s="115">
        <v>-7.4000000000000003E-3</v>
      </c>
      <c r="J214" s="106">
        <f t="shared" si="3"/>
        <v>-3.0000000000000001E-3</v>
      </c>
      <c r="K214" s="106">
        <v>2.3199999999999998E-2</v>
      </c>
      <c r="L214" s="108">
        <v>1.72E-2</v>
      </c>
      <c r="Q214" s="104">
        <v>43678</v>
      </c>
      <c r="R214" s="114">
        <v>2.6799999999999997E-2</v>
      </c>
      <c r="V214" s="104">
        <v>43678</v>
      </c>
      <c r="W214" s="110">
        <v>0.3916</v>
      </c>
    </row>
    <row r="215" spans="1:23">
      <c r="A215" s="104">
        <v>43709</v>
      </c>
      <c r="B215" s="102">
        <v>3.9918999999999998</v>
      </c>
      <c r="C215" s="102">
        <v>4.3547000000000002</v>
      </c>
      <c r="D215" s="102">
        <v>3.9535</v>
      </c>
      <c r="H215" s="104">
        <v>43709</v>
      </c>
      <c r="I215" s="115">
        <v>-8.6E-3</v>
      </c>
      <c r="J215" s="106">
        <v>-4.3E-3</v>
      </c>
      <c r="K215" s="106">
        <v>2.1299999999999999E-2</v>
      </c>
      <c r="L215" s="108">
        <v>1.72E-2</v>
      </c>
      <c r="Q215" s="104">
        <v>43709</v>
      </c>
      <c r="R215" s="114">
        <v>2.7200000000000002E-2</v>
      </c>
      <c r="V215" s="104">
        <v>43709</v>
      </c>
      <c r="W215" s="110">
        <v>0.3916</v>
      </c>
    </row>
    <row r="216" spans="1:23">
      <c r="A216" s="104">
        <v>43739</v>
      </c>
      <c r="B216" s="102">
        <v>3.9180000000000001</v>
      </c>
      <c r="C216" s="102">
        <v>4.3025000000000002</v>
      </c>
      <c r="D216" s="102">
        <v>3.8935</v>
      </c>
      <c r="H216" s="104">
        <v>43739</v>
      </c>
      <c r="I216" s="115">
        <f>I215</f>
        <v>-8.6E-3</v>
      </c>
      <c r="J216" s="106">
        <f t="shared" si="3"/>
        <v>-4.3E-3</v>
      </c>
      <c r="K216" s="106">
        <f t="shared" si="5"/>
        <v>2.1299999999999999E-2</v>
      </c>
      <c r="L216" s="108">
        <v>1.72E-2</v>
      </c>
      <c r="Q216" s="104">
        <v>43739</v>
      </c>
      <c r="R216" s="114">
        <v>2.7400000000000001E-2</v>
      </c>
      <c r="V216" s="104">
        <v>43739</v>
      </c>
      <c r="W216" s="110">
        <v>0.38890000000000002</v>
      </c>
    </row>
    <row r="217" spans="1:23">
      <c r="A217" s="104">
        <v>43770</v>
      </c>
      <c r="B217" s="102">
        <v>3.9020000000000001</v>
      </c>
      <c r="C217" s="102">
        <v>4.2843</v>
      </c>
      <c r="D217" s="102">
        <v>3.8744999999999998</v>
      </c>
      <c r="H217" s="104">
        <v>43770</v>
      </c>
      <c r="I217" s="115">
        <v>-7.6E-3</v>
      </c>
      <c r="J217" s="106">
        <f t="shared" si="3"/>
        <v>-4.3E-3</v>
      </c>
      <c r="K217" s="106">
        <v>1.9099999999999999E-2</v>
      </c>
      <c r="L217" s="108">
        <v>1.7100000000000001E-2</v>
      </c>
      <c r="Q217" s="104">
        <v>43770</v>
      </c>
      <c r="R217" s="114">
        <v>2.7300000000000001E-2</v>
      </c>
      <c r="V217" s="104">
        <v>43770</v>
      </c>
      <c r="W217" s="110">
        <v>0.38750000000000001</v>
      </c>
    </row>
    <row r="218" spans="1:23">
      <c r="A218" s="104">
        <v>43800</v>
      </c>
      <c r="B218" s="102">
        <v>3.9087000000000001</v>
      </c>
      <c r="C218" s="102">
        <v>4.2721</v>
      </c>
      <c r="D218" s="102">
        <v>3.8443000000000001</v>
      </c>
      <c r="H218" s="104">
        <v>43800</v>
      </c>
      <c r="I218" s="115">
        <f>I217</f>
        <v>-7.6E-3</v>
      </c>
      <c r="J218" s="106">
        <f t="shared" si="3"/>
        <v>-4.3E-3</v>
      </c>
      <c r="K218" s="106">
        <f t="shared" si="5"/>
        <v>1.9099999999999999E-2</v>
      </c>
      <c r="L218" s="108">
        <v>1.7000000000000001E-2</v>
      </c>
      <c r="Q218" s="104">
        <v>43800</v>
      </c>
      <c r="R218" s="114">
        <v>2.7099999999999999E-2</v>
      </c>
      <c r="V218" s="104">
        <v>43800</v>
      </c>
      <c r="W218" s="110">
        <v>0.3765</v>
      </c>
    </row>
    <row r="219" spans="1:23">
      <c r="A219" s="104">
        <v>43831</v>
      </c>
      <c r="B219" s="102">
        <v>3.9451000000000001</v>
      </c>
      <c r="C219" s="102">
        <v>4.2504</v>
      </c>
      <c r="D219" s="102">
        <v>3.8287</v>
      </c>
      <c r="H219" s="104">
        <v>43831</v>
      </c>
      <c r="I219" s="115">
        <f>I218</f>
        <v>-7.6E-3</v>
      </c>
      <c r="J219" s="106">
        <f t="shared" si="3"/>
        <v>-4.3E-3</v>
      </c>
      <c r="K219" s="106">
        <f t="shared" si="5"/>
        <v>1.9099999999999999E-2</v>
      </c>
      <c r="L219" s="108">
        <v>1.7100000000000001E-2</v>
      </c>
      <c r="Q219" s="104">
        <v>43831</v>
      </c>
      <c r="R219" s="114">
        <v>2.7300000000000001E-2</v>
      </c>
      <c r="V219" s="104">
        <v>43831</v>
      </c>
      <c r="W219" s="110">
        <v>0.36420000000000002</v>
      </c>
    </row>
    <row r="220" spans="1:23">
      <c r="A220" s="104">
        <v>43862</v>
      </c>
      <c r="B220" s="102">
        <v>4.0166000000000004</v>
      </c>
      <c r="C220" s="102">
        <v>4.2789000000000001</v>
      </c>
      <c r="D220" s="102">
        <v>3.9201000000000001</v>
      </c>
      <c r="H220" s="104">
        <v>43862</v>
      </c>
      <c r="I220" s="115">
        <f>I219</f>
        <v>-7.6E-3</v>
      </c>
      <c r="J220" s="106">
        <f t="shared" si="3"/>
        <v>-4.3E-3</v>
      </c>
      <c r="K220" s="106">
        <v>1.7600000000000001E-2</v>
      </c>
      <c r="L220" s="108">
        <v>1.7100000000000001E-2</v>
      </c>
      <c r="Q220" s="104">
        <v>43862</v>
      </c>
      <c r="R220" s="114">
        <v>2.7300000000000001E-2</v>
      </c>
      <c r="V220" s="104">
        <v>43862</v>
      </c>
      <c r="W220" s="110">
        <v>0.35470000000000002</v>
      </c>
    </row>
    <row r="221" spans="1:23">
      <c r="A221" s="104">
        <v>43891</v>
      </c>
      <c r="B221" s="102">
        <v>4.1891999999999996</v>
      </c>
      <c r="C221" s="102">
        <v>4.4356</v>
      </c>
      <c r="D221" s="102">
        <v>4.0125999999999999</v>
      </c>
      <c r="H221" s="104">
        <v>43891</v>
      </c>
      <c r="I221" s="115">
        <f>I220</f>
        <v>-7.6E-3</v>
      </c>
      <c r="J221" s="106">
        <f t="shared" si="3"/>
        <v>-4.3E-3</v>
      </c>
      <c r="K221" s="106">
        <v>1.5800000000000002E-2</v>
      </c>
      <c r="L221" s="108">
        <v>1.4500000000000001E-2</v>
      </c>
      <c r="Q221" s="104">
        <v>43891</v>
      </c>
      <c r="R221" s="114">
        <v>2.86E-2</v>
      </c>
      <c r="V221" s="104">
        <v>43891</v>
      </c>
      <c r="W221" s="110">
        <v>0.35199999999999998</v>
      </c>
    </row>
    <row r="222" spans="1:23">
      <c r="A222" s="104">
        <v>43922</v>
      </c>
      <c r="B222" s="102">
        <v>4.3106999999999998</v>
      </c>
      <c r="C222" s="102">
        <v>4.5449999999999999</v>
      </c>
      <c r="D222" s="102">
        <v>4.1856</v>
      </c>
      <c r="H222" s="104">
        <v>43922</v>
      </c>
      <c r="I222" s="115">
        <v>-6.6E-3</v>
      </c>
      <c r="J222" s="106">
        <f t="shared" si="3"/>
        <v>-4.3E-3</v>
      </c>
      <c r="K222" s="106">
        <v>1.43E-2</v>
      </c>
      <c r="L222" s="108">
        <v>8.3000000000000001E-3</v>
      </c>
      <c r="Q222" s="104">
        <v>43922</v>
      </c>
      <c r="R222" s="114">
        <v>3.1300000000000001E-2</v>
      </c>
      <c r="V222" s="104">
        <v>43922</v>
      </c>
      <c r="W222" s="110">
        <v>0.3533</v>
      </c>
    </row>
    <row r="223" spans="1:23">
      <c r="A223" s="104">
        <v>43952</v>
      </c>
      <c r="B223" s="102">
        <v>4.2838000000000003</v>
      </c>
      <c r="C223" s="102">
        <v>4.5290999999999997</v>
      </c>
      <c r="D223" s="102">
        <v>4.1569000000000003</v>
      </c>
      <c r="H223" s="104">
        <v>43952</v>
      </c>
      <c r="I223" s="115">
        <f>I222</f>
        <v>-6.6E-3</v>
      </c>
      <c r="J223" s="106">
        <v>-2.5999999999999999E-3</v>
      </c>
      <c r="K223" s="106">
        <v>6.9000000000000006E-2</v>
      </c>
      <c r="L223" s="108">
        <v>6.6E-3</v>
      </c>
      <c r="Q223" s="104">
        <v>43952</v>
      </c>
      <c r="R223" s="114">
        <v>3.0399999999999996E-2</v>
      </c>
      <c r="V223" s="104">
        <v>43952</v>
      </c>
      <c r="W223" s="110">
        <v>0.35610000000000003</v>
      </c>
    </row>
    <row r="224" spans="1:23">
      <c r="A224" s="104">
        <v>43983</v>
      </c>
      <c r="B224" s="102">
        <v>4.1474000000000002</v>
      </c>
      <c r="C224" s="102">
        <v>4.4450000000000003</v>
      </c>
      <c r="D224" s="102">
        <v>3.9453</v>
      </c>
      <c r="H224" s="104">
        <v>43983</v>
      </c>
      <c r="I224" s="115">
        <f>I223</f>
        <v>-6.6E-3</v>
      </c>
      <c r="J224" s="106">
        <f t="shared" ref="J224:J239" si="6">J223</f>
        <v>-2.5999999999999999E-3</v>
      </c>
      <c r="K224" s="106">
        <v>3.5000000000000001E-3</v>
      </c>
      <c r="L224" s="108">
        <v>2.7000000000000001E-3</v>
      </c>
      <c r="Q224" s="104">
        <v>43983</v>
      </c>
      <c r="R224" s="114">
        <v>3.0100000000000002E-2</v>
      </c>
      <c r="V224" s="104">
        <v>43983</v>
      </c>
      <c r="W224" s="110">
        <v>0.34799999999999998</v>
      </c>
    </row>
    <row r="225" spans="1:23">
      <c r="A225" s="104">
        <v>44013</v>
      </c>
      <c r="B225" s="102">
        <v>4.1611000000000002</v>
      </c>
      <c r="C225" s="102">
        <v>4.4527999999999999</v>
      </c>
      <c r="D225" s="102">
        <v>3.8942999999999999</v>
      </c>
      <c r="H225" s="104">
        <v>44013</v>
      </c>
      <c r="I225" s="115">
        <f>I224</f>
        <v>-6.6E-3</v>
      </c>
      <c r="J225" s="106">
        <v>-4.1000000000000003E-3</v>
      </c>
      <c r="K225" s="106">
        <f t="shared" si="5"/>
        <v>3.5000000000000001E-3</v>
      </c>
      <c r="L225" s="108">
        <v>2.5000000000000001E-3</v>
      </c>
      <c r="Q225" s="104">
        <v>44013</v>
      </c>
      <c r="R225" s="114">
        <v>3.0000000000000002E-2</v>
      </c>
      <c r="V225" s="104">
        <v>44013</v>
      </c>
      <c r="W225" s="110">
        <v>0.35070000000000001</v>
      </c>
    </row>
    <row r="226" spans="1:23">
      <c r="A226" s="104">
        <v>44044</v>
      </c>
      <c r="B226" s="102">
        <v>4.0881999999999996</v>
      </c>
      <c r="C226" s="102">
        <v>4.4020999999999999</v>
      </c>
      <c r="D226" s="102">
        <v>3.7189999999999999</v>
      </c>
      <c r="H226" s="104">
        <v>44044</v>
      </c>
      <c r="I226" s="115">
        <f>I225</f>
        <v>-6.6E-3</v>
      </c>
      <c r="J226" s="106">
        <f t="shared" si="6"/>
        <v>-4.1000000000000003E-3</v>
      </c>
      <c r="K226" s="106">
        <v>2.5000000000000001E-3</v>
      </c>
      <c r="L226" s="108">
        <v>2.3E-3</v>
      </c>
      <c r="Q226" s="104">
        <v>44044</v>
      </c>
      <c r="R226" s="114">
        <v>2.8299999999999999E-2</v>
      </c>
      <c r="V226" s="104">
        <v>44044</v>
      </c>
      <c r="W226" s="110">
        <v>0.35199999999999998</v>
      </c>
    </row>
    <row r="227" spans="1:23">
      <c r="A227" s="104">
        <v>44075</v>
      </c>
      <c r="B227" s="102">
        <v>4.1486999999999998</v>
      </c>
      <c r="C227" s="102">
        <v>4.4740000000000002</v>
      </c>
      <c r="D227" s="102">
        <v>3.7926000000000002</v>
      </c>
      <c r="H227" s="104">
        <v>44075</v>
      </c>
      <c r="I227" s="115">
        <f>I226</f>
        <v>-6.6E-3</v>
      </c>
      <c r="J227" s="106">
        <f t="shared" si="6"/>
        <v>-4.1000000000000003E-3</v>
      </c>
      <c r="K227" s="106">
        <f t="shared" si="5"/>
        <v>2.5000000000000001E-3</v>
      </c>
      <c r="L227" s="108">
        <v>2.3E-3</v>
      </c>
      <c r="Q227" s="104">
        <v>44075</v>
      </c>
      <c r="R227" s="114">
        <v>2.7799999999999998E-2</v>
      </c>
      <c r="V227" s="104">
        <v>44075</v>
      </c>
      <c r="W227" s="110">
        <v>0.3493</v>
      </c>
    </row>
    <row r="228" spans="1:23">
      <c r="A228" s="104">
        <v>44105</v>
      </c>
      <c r="B228" s="102">
        <v>4.2282000000000002</v>
      </c>
      <c r="C228" s="102">
        <v>4.5411000000000001</v>
      </c>
      <c r="D228" s="102">
        <v>3.8605</v>
      </c>
      <c r="H228" s="104">
        <v>44105</v>
      </c>
      <c r="I228" s="115">
        <v>-7.7000000000000002E-3</v>
      </c>
      <c r="J228" s="106">
        <f t="shared" si="6"/>
        <v>-4.1000000000000003E-3</v>
      </c>
      <c r="K228" s="106">
        <f t="shared" si="5"/>
        <v>2.5000000000000001E-3</v>
      </c>
      <c r="L228" s="108">
        <v>2.2000000000000001E-3</v>
      </c>
      <c r="Q228" s="104">
        <v>44105</v>
      </c>
      <c r="R228" s="114">
        <v>2.69E-2</v>
      </c>
      <c r="V228" s="104">
        <v>44105</v>
      </c>
      <c r="W228" s="110">
        <v>0.34799999999999998</v>
      </c>
    </row>
    <row r="229" spans="1:23">
      <c r="A229" s="104">
        <v>44136</v>
      </c>
      <c r="B229" s="102">
        <v>4.1783000000000001</v>
      </c>
      <c r="C229" s="102">
        <v>4.5023</v>
      </c>
      <c r="D229" s="102">
        <v>3.8035000000000001</v>
      </c>
      <c r="H229" s="104">
        <v>44136</v>
      </c>
      <c r="I229" s="115">
        <f t="shared" ref="I229:K238" si="7">I228</f>
        <v>-7.7000000000000002E-3</v>
      </c>
      <c r="J229" s="106">
        <v>-5.1999999999999998E-3</v>
      </c>
      <c r="K229" s="106">
        <f t="shared" si="5"/>
        <v>2.5000000000000001E-3</v>
      </c>
      <c r="L229" s="108">
        <v>2.2000000000000001E-3</v>
      </c>
      <c r="Q229" s="104">
        <v>44136</v>
      </c>
      <c r="R229" s="114">
        <v>2.7E-2</v>
      </c>
      <c r="V229" s="104">
        <v>44136</v>
      </c>
      <c r="W229" s="110">
        <v>0.34660000000000002</v>
      </c>
    </row>
    <row r="230" spans="1:23">
      <c r="A230" s="104">
        <v>44166</v>
      </c>
      <c r="B230" s="102">
        <v>4.1383000000000001</v>
      </c>
      <c r="C230" s="102">
        <v>4.4766000000000004</v>
      </c>
      <c r="D230" s="102">
        <v>3.6778</v>
      </c>
      <c r="H230" s="104">
        <v>44166</v>
      </c>
      <c r="I230" s="115">
        <f t="shared" si="7"/>
        <v>-7.7000000000000002E-3</v>
      </c>
      <c r="J230" s="106">
        <f t="shared" si="6"/>
        <v>-5.1999999999999998E-3</v>
      </c>
      <c r="K230" s="106">
        <f t="shared" ref="K230:K232" si="8">K229</f>
        <v>2.5000000000000001E-3</v>
      </c>
      <c r="L230" s="108">
        <v>2.0999999999999999E-3</v>
      </c>
      <c r="Q230" s="104">
        <v>44166</v>
      </c>
      <c r="R230" s="116">
        <v>2.7199999999999998E-2</v>
      </c>
      <c r="V230" s="104">
        <v>44166</v>
      </c>
      <c r="W230" s="110">
        <v>0.3453</v>
      </c>
    </row>
    <row r="231" spans="1:23">
      <c r="A231" s="104">
        <v>44197</v>
      </c>
      <c r="B231" s="102">
        <v>4.2089999999999996</v>
      </c>
      <c r="C231" s="102">
        <v>4.5434999999999999</v>
      </c>
      <c r="D231" s="102">
        <v>3.7303999999999999</v>
      </c>
      <c r="H231" s="104">
        <v>44197</v>
      </c>
      <c r="I231" s="115">
        <f t="shared" si="7"/>
        <v>-7.7000000000000002E-3</v>
      </c>
      <c r="J231" s="106">
        <f t="shared" si="6"/>
        <v>-5.1999999999999998E-3</v>
      </c>
      <c r="K231" s="106">
        <f t="shared" si="8"/>
        <v>2.5000000000000001E-3</v>
      </c>
      <c r="L231" s="108">
        <v>2.0999999999999999E-3</v>
      </c>
      <c r="Q231" s="104"/>
      <c r="V231" s="104">
        <v>44197</v>
      </c>
      <c r="W231" s="110">
        <v>0.32800000000000001</v>
      </c>
    </row>
    <row r="232" spans="1:23">
      <c r="A232" s="104">
        <v>44228</v>
      </c>
      <c r="B232" s="102">
        <v>4.1441999999999997</v>
      </c>
      <c r="C232" s="102">
        <v>4.4988000000000001</v>
      </c>
      <c r="D232" s="102">
        <v>3.7195999999999998</v>
      </c>
      <c r="H232" s="104">
        <v>44228</v>
      </c>
      <c r="I232" s="115">
        <f t="shared" si="7"/>
        <v>-7.7000000000000002E-3</v>
      </c>
      <c r="J232" s="106">
        <f t="shared" si="6"/>
        <v>-5.1999999999999998E-3</v>
      </c>
      <c r="K232" s="106">
        <f t="shared" si="8"/>
        <v>2.5000000000000001E-3</v>
      </c>
      <c r="L232" s="108">
        <v>2.0999999999999999E-3</v>
      </c>
      <c r="Q232" s="104"/>
      <c r="V232" s="104">
        <v>44228</v>
      </c>
      <c r="W232" s="110">
        <v>0.32140000000000002</v>
      </c>
    </row>
    <row r="233" spans="1:23">
      <c r="A233" s="104">
        <v>44256</v>
      </c>
      <c r="B233" s="102">
        <v>4.1573000000000002</v>
      </c>
      <c r="C233" s="102">
        <v>4.6006999999999998</v>
      </c>
      <c r="D233" s="102">
        <v>3.8673000000000002</v>
      </c>
      <c r="H233" s="104">
        <v>44256</v>
      </c>
      <c r="I233" s="115">
        <f t="shared" si="7"/>
        <v>-7.7000000000000002E-3</v>
      </c>
      <c r="J233" s="106">
        <f t="shared" si="6"/>
        <v>-5.1999999999999998E-3</v>
      </c>
      <c r="K233" s="106">
        <f t="shared" si="7"/>
        <v>2.5000000000000001E-3</v>
      </c>
      <c r="L233" s="108">
        <v>2.0999999999999999E-3</v>
      </c>
      <c r="Q233" s="104"/>
      <c r="V233" s="104">
        <v>44256</v>
      </c>
      <c r="W233" s="110">
        <v>0.30830000000000002</v>
      </c>
    </row>
    <row r="234" spans="1:23">
      <c r="A234" s="104">
        <v>44287</v>
      </c>
      <c r="B234" s="102">
        <v>4.1365999999999996</v>
      </c>
      <c r="C234" s="102">
        <v>4.5658000000000003</v>
      </c>
      <c r="D234" s="102">
        <v>3.8212000000000002</v>
      </c>
      <c r="H234" s="104">
        <v>44287</v>
      </c>
      <c r="I234" s="115">
        <f t="shared" si="7"/>
        <v>-7.7000000000000002E-3</v>
      </c>
      <c r="J234" s="106">
        <f t="shared" si="6"/>
        <v>-5.1999999999999998E-3</v>
      </c>
      <c r="K234" s="106">
        <f t="shared" si="7"/>
        <v>2.5000000000000001E-3</v>
      </c>
      <c r="L234" s="108">
        <v>2.0999999999999999E-3</v>
      </c>
      <c r="Q234" s="104"/>
      <c r="V234" s="104">
        <v>44287</v>
      </c>
      <c r="W234" s="110">
        <v>0.2979</v>
      </c>
    </row>
    <row r="235" spans="1:23">
      <c r="A235" s="104">
        <v>44317</v>
      </c>
      <c r="B235" s="102">
        <v>4.1304999999999996</v>
      </c>
      <c r="C235" s="102">
        <v>4.5301</v>
      </c>
      <c r="D235" s="102">
        <v>3.7292000000000001</v>
      </c>
      <c r="H235" s="104">
        <v>44317</v>
      </c>
      <c r="I235" s="115">
        <f t="shared" si="7"/>
        <v>-7.7000000000000002E-3</v>
      </c>
      <c r="J235" s="106">
        <f t="shared" si="6"/>
        <v>-5.1999999999999998E-3</v>
      </c>
      <c r="K235" s="106">
        <f t="shared" si="7"/>
        <v>2.5000000000000001E-3</v>
      </c>
      <c r="L235" s="108">
        <v>2.0999999999999999E-3</v>
      </c>
      <c r="Q235" s="104"/>
      <c r="V235" s="104">
        <v>44317</v>
      </c>
      <c r="W235" s="110">
        <v>0.29409999999999997</v>
      </c>
    </row>
    <row r="236" spans="1:23">
      <c r="A236" s="104">
        <v>44348</v>
      </c>
      <c r="B236" s="102">
        <v>4.1151999999999997</v>
      </c>
      <c r="C236" s="102">
        <v>4.5015000000000001</v>
      </c>
      <c r="D236" s="102">
        <v>3.7374999999999998</v>
      </c>
      <c r="H236" s="104">
        <v>44348</v>
      </c>
      <c r="I236" s="115">
        <f t="shared" ref="I236:I241" si="9">I235</f>
        <v>-7.7000000000000002E-3</v>
      </c>
      <c r="J236" s="106">
        <f t="shared" si="6"/>
        <v>-5.1999999999999998E-3</v>
      </c>
      <c r="K236" s="106">
        <v>1.2999999999999999E-3</v>
      </c>
      <c r="L236" s="108">
        <v>2.0999999999999999E-3</v>
      </c>
      <c r="Q236" s="104"/>
      <c r="V236" s="104">
        <v>44348</v>
      </c>
      <c r="W236" s="110">
        <v>0.2928</v>
      </c>
    </row>
    <row r="237" spans="1:23">
      <c r="A237" s="104">
        <v>44378</v>
      </c>
      <c r="B237" s="102">
        <v>4.2032999999999996</v>
      </c>
      <c r="C237" s="102">
        <v>4.5629999999999997</v>
      </c>
      <c r="D237" s="102">
        <v>3.8592</v>
      </c>
      <c r="H237" s="104">
        <v>44378</v>
      </c>
      <c r="I237" s="115">
        <f t="shared" si="9"/>
        <v>-7.7000000000000002E-3</v>
      </c>
      <c r="J237" s="106">
        <f t="shared" si="6"/>
        <v>-5.1999999999999998E-3</v>
      </c>
      <c r="K237" s="106">
        <f t="shared" si="7"/>
        <v>1.2999999999999999E-3</v>
      </c>
      <c r="L237" s="108">
        <v>2.0999999999999999E-3</v>
      </c>
      <c r="Q237" s="104"/>
      <c r="V237" s="104">
        <v>44378</v>
      </c>
      <c r="W237" s="110">
        <v>0.28760000000000002</v>
      </c>
    </row>
    <row r="238" spans="1:23">
      <c r="A238" s="104">
        <v>44409</v>
      </c>
      <c r="B238" s="102">
        <v>4.2465000000000002</v>
      </c>
      <c r="C238" s="102">
        <v>4.57</v>
      </c>
      <c r="D238" s="102">
        <v>3.8835000000000002</v>
      </c>
      <c r="H238" s="104">
        <v>44409</v>
      </c>
      <c r="I238" s="115">
        <f t="shared" si="9"/>
        <v>-7.7000000000000002E-3</v>
      </c>
      <c r="J238" s="106">
        <f t="shared" si="6"/>
        <v>-5.1999999999999998E-3</v>
      </c>
      <c r="K238" s="106">
        <f t="shared" si="7"/>
        <v>1.2999999999999999E-3</v>
      </c>
      <c r="L238" s="108">
        <v>2.0999999999999999E-3</v>
      </c>
      <c r="Q238" s="104"/>
      <c r="V238" s="104">
        <v>44409</v>
      </c>
      <c r="W238" s="110">
        <v>0.2838</v>
      </c>
    </row>
    <row r="239" spans="1:23">
      <c r="A239" s="104">
        <v>44440</v>
      </c>
      <c r="B239" s="102">
        <v>4.2042999999999999</v>
      </c>
      <c r="C239" s="102">
        <v>4.5663999999999998</v>
      </c>
      <c r="D239" s="102">
        <v>3.8755000000000002</v>
      </c>
      <c r="H239" s="104">
        <v>44440</v>
      </c>
      <c r="I239" s="106">
        <f t="shared" si="9"/>
        <v>-7.7000000000000002E-3</v>
      </c>
      <c r="J239" s="106">
        <f t="shared" si="6"/>
        <v>-5.1999999999999998E-3</v>
      </c>
      <c r="K239" s="106">
        <f>K238</f>
        <v>1.2999999999999999E-3</v>
      </c>
      <c r="L239" s="108">
        <v>2.3999999999999998E-3</v>
      </c>
      <c r="Q239" s="104"/>
      <c r="V239" s="104">
        <v>44440</v>
      </c>
      <c r="W239" s="110">
        <v>0.27479999999999999</v>
      </c>
    </row>
    <row r="240" spans="1:23">
      <c r="A240" s="104">
        <v>44470</v>
      </c>
      <c r="B240" s="117">
        <v>4.2895000000000003</v>
      </c>
      <c r="C240" s="117">
        <v>4.5952000000000002</v>
      </c>
      <c r="D240" s="117">
        <v>3.9607000000000001</v>
      </c>
      <c r="H240" s="104">
        <v>44470</v>
      </c>
      <c r="I240" s="109">
        <f t="shared" si="9"/>
        <v>-7.7000000000000002E-3</v>
      </c>
      <c r="J240" s="109">
        <f>J239</f>
        <v>-5.1999999999999998E-3</v>
      </c>
      <c r="K240" s="109">
        <f>K239</f>
        <v>1.2999999999999999E-3</v>
      </c>
      <c r="L240" s="118">
        <v>6.1000000000000004E-3</v>
      </c>
      <c r="V240" s="104">
        <v>44470</v>
      </c>
      <c r="W240" s="110">
        <v>0.26100000000000001</v>
      </c>
    </row>
    <row r="241" spans="1:23">
      <c r="A241" s="104">
        <v>44501</v>
      </c>
      <c r="B241" s="117">
        <v>4.4221000000000004</v>
      </c>
      <c r="C241" s="117">
        <v>4.6508000000000003</v>
      </c>
      <c r="D241" s="117">
        <v>4.0754999999999999</v>
      </c>
      <c r="H241" s="104">
        <v>44501</v>
      </c>
      <c r="I241" s="109">
        <f t="shared" si="9"/>
        <v>-7.7000000000000002E-3</v>
      </c>
      <c r="J241" s="109">
        <f>J240</f>
        <v>-5.1999999999999998E-3</v>
      </c>
      <c r="K241" s="109">
        <f>K240</f>
        <v>1.2999999999999999E-3</v>
      </c>
      <c r="L241" s="118">
        <v>1.5900000000000001E-2</v>
      </c>
      <c r="V241" s="104">
        <v>44501</v>
      </c>
      <c r="W241" s="110">
        <v>0.2485</v>
      </c>
    </row>
    <row r="242" spans="1:23">
      <c r="A242" s="104">
        <v>44531</v>
      </c>
      <c r="B242" s="119">
        <v>4.4353999999999996</v>
      </c>
      <c r="C242" s="119">
        <v>4.6162999999999998</v>
      </c>
      <c r="D242" s="119">
        <v>4.0834000000000001</v>
      </c>
      <c r="H242" s="104">
        <f>A242</f>
        <v>44531</v>
      </c>
      <c r="I242" s="109">
        <f t="shared" ref="I242" si="10">I241</f>
        <v>-7.7000000000000002E-3</v>
      </c>
      <c r="J242" s="109">
        <f>J241</f>
        <v>-5.1999999999999998E-3</v>
      </c>
      <c r="K242" s="109">
        <f>K241</f>
        <v>1.2999999999999999E-3</v>
      </c>
      <c r="L242" s="120">
        <v>2.3400000000000001E-2</v>
      </c>
      <c r="V242" s="104">
        <v>44531</v>
      </c>
      <c r="W242" s="110">
        <v>0.2374</v>
      </c>
    </row>
    <row r="243" spans="1:23">
      <c r="A243" s="104">
        <v>44562</v>
      </c>
      <c r="B243" s="117">
        <v>4.3818000000000001</v>
      </c>
      <c r="C243" s="117">
        <v>4.5548000000000002</v>
      </c>
      <c r="D243" s="117">
        <v>4.0239000000000003</v>
      </c>
      <c r="H243" s="104">
        <f>A243</f>
        <v>44562</v>
      </c>
      <c r="I243" s="109">
        <f>I242</f>
        <v>-7.7000000000000002E-3</v>
      </c>
      <c r="J243" s="109">
        <f>J242</f>
        <v>-5.1999999999999998E-3</v>
      </c>
      <c r="K243" s="109">
        <f>K242</f>
        <v>1.2999999999999999E-3</v>
      </c>
      <c r="L243" s="109">
        <v>2.5100000000000001E-2</v>
      </c>
      <c r="M243" s="97" t="s">
        <v>65</v>
      </c>
      <c r="V243" s="104">
        <v>44562</v>
      </c>
      <c r="W243" s="110">
        <v>0.21429999999999999</v>
      </c>
    </row>
    <row r="244" spans="1:23">
      <c r="A244" s="104">
        <v>44593</v>
      </c>
      <c r="B244" s="98">
        <v>4.3506</v>
      </c>
      <c r="C244" s="98">
        <v>4.5538999999999996</v>
      </c>
      <c r="D244" s="98">
        <v>4.0156000000000001</v>
      </c>
      <c r="H244" s="104">
        <f t="shared" ref="H244:H245" si="11">A244</f>
        <v>44593</v>
      </c>
      <c r="I244" s="109">
        <f t="shared" ref="I244:I248" si="12">I243</f>
        <v>-7.7000000000000002E-3</v>
      </c>
      <c r="J244" s="109">
        <f t="shared" ref="J244:J247" si="13">J243</f>
        <v>-5.1999999999999998E-3</v>
      </c>
      <c r="K244" s="109">
        <v>3.2000000000000002E-3</v>
      </c>
      <c r="L244" s="109">
        <v>3.3309999999999999E-2</v>
      </c>
      <c r="V244" s="104">
        <v>44593</v>
      </c>
      <c r="W244" s="110">
        <v>0.21790000000000001</v>
      </c>
    </row>
    <row r="245" spans="1:23">
      <c r="A245" s="104">
        <v>44621</v>
      </c>
      <c r="B245" s="98">
        <v>4.6497999999999999</v>
      </c>
      <c r="C245" s="98">
        <v>4.7603</v>
      </c>
      <c r="D245" s="98">
        <v>4.3207000000000004</v>
      </c>
      <c r="H245" s="104">
        <f t="shared" si="11"/>
        <v>44621</v>
      </c>
      <c r="I245" s="109">
        <f t="shared" si="12"/>
        <v>-7.7000000000000002E-3</v>
      </c>
      <c r="J245" s="109">
        <f t="shared" si="13"/>
        <v>-5.1999999999999998E-3</v>
      </c>
      <c r="K245" s="109">
        <v>5.2300000000000003E-3</v>
      </c>
      <c r="L245" s="109">
        <v>4.2673999999999997E-2</v>
      </c>
      <c r="V245" s="104">
        <v>44621</v>
      </c>
      <c r="W245" s="110">
        <v>0.17899999999999999</v>
      </c>
    </row>
    <row r="246" spans="1:23">
      <c r="A246" s="104">
        <v>44652</v>
      </c>
      <c r="B246" s="117">
        <v>4.5475000000000003</v>
      </c>
      <c r="C246" s="117">
        <v>4.6464999999999996</v>
      </c>
      <c r="D246" s="117">
        <v>4.2899000000000003</v>
      </c>
      <c r="H246" s="104">
        <f t="shared" ref="H246:H249" si="14">A246</f>
        <v>44652</v>
      </c>
      <c r="I246" s="109">
        <f t="shared" si="12"/>
        <v>-7.7000000000000002E-3</v>
      </c>
      <c r="J246" s="109">
        <f t="shared" si="13"/>
        <v>-5.1999999999999998E-3</v>
      </c>
      <c r="K246" s="109">
        <v>9.6685999999999994E-3</v>
      </c>
      <c r="L246" s="109">
        <v>5.4795000000000003E-2</v>
      </c>
      <c r="V246" s="104">
        <v>44652</v>
      </c>
      <c r="W246" s="110">
        <v>0.15590000000000001</v>
      </c>
    </row>
    <row r="247" spans="1:23">
      <c r="A247" s="104">
        <v>44682</v>
      </c>
      <c r="B247" s="117">
        <v>4.4947999999999997</v>
      </c>
      <c r="C247" s="117">
        <v>4.6502999999999997</v>
      </c>
      <c r="D247" s="117">
        <v>4.3986999999999998</v>
      </c>
      <c r="H247" s="104">
        <f t="shared" si="14"/>
        <v>44682</v>
      </c>
      <c r="I247" s="109">
        <f t="shared" si="12"/>
        <v>-7.7000000000000002E-3</v>
      </c>
      <c r="J247" s="109">
        <f t="shared" si="13"/>
        <v>-5.1999999999999998E-3</v>
      </c>
      <c r="K247" s="109">
        <v>1.286E-2</v>
      </c>
      <c r="L247" s="109">
        <v>6.4199999999999993E-2</v>
      </c>
      <c r="V247" s="104">
        <v>44682</v>
      </c>
      <c r="W247" s="110">
        <v>0.1366</v>
      </c>
    </row>
    <row r="248" spans="1:23">
      <c r="A248" s="104">
        <v>44713</v>
      </c>
      <c r="B248" s="117">
        <v>4.5289999999999999</v>
      </c>
      <c r="C248" s="117">
        <v>4.6456999999999997</v>
      </c>
      <c r="D248" s="117">
        <v>4.3875999999999999</v>
      </c>
      <c r="H248" s="104">
        <f t="shared" si="14"/>
        <v>44713</v>
      </c>
      <c r="I248" s="109">
        <f t="shared" si="12"/>
        <v>-7.7000000000000002E-3</v>
      </c>
      <c r="J248" s="109">
        <v>-3.5400000000000002E-3</v>
      </c>
      <c r="K248" s="109">
        <v>1.58043E-2</v>
      </c>
      <c r="L248" s="109">
        <v>6.8500000000000005E-2</v>
      </c>
      <c r="V248" s="104">
        <v>44713</v>
      </c>
      <c r="W248" s="110">
        <v>0.1198</v>
      </c>
    </row>
    <row r="249" spans="1:23">
      <c r="A249" s="104">
        <v>44743</v>
      </c>
      <c r="B249" s="117">
        <v>4.8337000000000003</v>
      </c>
      <c r="C249" s="117">
        <v>4.7712000000000003</v>
      </c>
      <c r="D249" s="117">
        <v>4.6830999999999996</v>
      </c>
      <c r="H249" s="104">
        <f t="shared" si="14"/>
        <v>44743</v>
      </c>
      <c r="I249" s="109">
        <f>I248</f>
        <v>-7.7000000000000002E-3</v>
      </c>
      <c r="J249" s="109">
        <v>-1.91E-3</v>
      </c>
      <c r="K249" s="109">
        <v>2.2771400000000001E-2</v>
      </c>
      <c r="L249" s="109">
        <v>7.0499999999999993E-2</v>
      </c>
      <c r="V249" s="104">
        <v>44743</v>
      </c>
      <c r="W249" s="110">
        <v>0.1142</v>
      </c>
    </row>
    <row r="250" spans="1:23">
      <c r="A250" s="121">
        <v>44774</v>
      </c>
      <c r="B250" s="122">
        <v>4.8714000000000004</v>
      </c>
      <c r="C250" s="122">
        <v>4.7215999999999996</v>
      </c>
      <c r="D250" s="122">
        <v>4.6577999999999999</v>
      </c>
      <c r="H250" s="104">
        <f t="shared" ref="H250:H253" si="15">A250</f>
        <v>44774</v>
      </c>
      <c r="I250" s="109">
        <f t="shared" ref="I250:I253" si="16">I249</f>
        <v>-7.7000000000000002E-3</v>
      </c>
      <c r="J250" s="109">
        <v>2.6700000000000001E-3</v>
      </c>
      <c r="K250" s="109">
        <v>2.7799999999999998E-2</v>
      </c>
      <c r="L250" s="109">
        <f>L249</f>
        <v>7.0499999999999993E-2</v>
      </c>
      <c r="V250" s="104">
        <v>44774</v>
      </c>
      <c r="W250" s="110">
        <v>0.10539999999999999</v>
      </c>
    </row>
    <row r="251" spans="1:23">
      <c r="A251" s="104">
        <v>44805</v>
      </c>
      <c r="B251" s="102">
        <v>4.9137000000000004</v>
      </c>
      <c r="C251" s="102">
        <v>4.7389999999999999</v>
      </c>
      <c r="D251" s="102">
        <v>4.7784000000000004</v>
      </c>
      <c r="H251" s="104">
        <f t="shared" si="15"/>
        <v>44805</v>
      </c>
      <c r="I251" s="109">
        <f t="shared" si="16"/>
        <v>-7.7000000000000002E-3</v>
      </c>
      <c r="J251" s="109">
        <v>6.1999999999999998E-3</v>
      </c>
      <c r="K251" s="109">
        <v>3.0800000000000001E-2</v>
      </c>
      <c r="L251" s="109">
        <f t="shared" ref="L251:L253" si="17">L250</f>
        <v>7.0499999999999993E-2</v>
      </c>
      <c r="V251" s="104">
        <v>44805</v>
      </c>
      <c r="W251" s="110">
        <v>8.7999999999999995E-2</v>
      </c>
    </row>
    <row r="252" spans="1:23">
      <c r="A252" s="104">
        <v>44835</v>
      </c>
      <c r="B252" s="102">
        <v>4.9169999999999998</v>
      </c>
      <c r="C252" s="102">
        <v>4.8087999999999997</v>
      </c>
      <c r="D252" s="102">
        <v>4.8939000000000004</v>
      </c>
      <c r="H252" s="104">
        <f t="shared" si="15"/>
        <v>44835</v>
      </c>
      <c r="I252" s="109">
        <f t="shared" si="16"/>
        <v>-7.7000000000000002E-3</v>
      </c>
      <c r="J252" s="109">
        <v>1.1599999999999999E-2</v>
      </c>
      <c r="K252" s="109">
        <v>3.7400000000000003E-2</v>
      </c>
      <c r="L252" s="109">
        <v>7.1800000000000003E-2</v>
      </c>
      <c r="V252" s="104">
        <v>44835</v>
      </c>
      <c r="W252" s="110">
        <v>6.8699999999999997E-2</v>
      </c>
    </row>
    <row r="253" spans="1:23">
      <c r="A253" s="104">
        <v>44866</v>
      </c>
      <c r="B253" s="102">
        <v>4.7704000000000004</v>
      </c>
      <c r="C253" s="102">
        <v>4.6977000000000002</v>
      </c>
      <c r="D253" s="102">
        <v>4.6226000000000003</v>
      </c>
      <c r="H253" s="104">
        <f t="shared" si="15"/>
        <v>44866</v>
      </c>
      <c r="I253" s="109">
        <f t="shared" si="16"/>
        <v>-7.7000000000000002E-3</v>
      </c>
      <c r="J253" s="109">
        <f>J252</f>
        <v>1.1599999999999999E-2</v>
      </c>
      <c r="K253" s="109">
        <f>K252</f>
        <v>3.7400000000000003E-2</v>
      </c>
      <c r="L253" s="109">
        <f t="shared" si="17"/>
        <v>7.1800000000000003E-2</v>
      </c>
      <c r="V253" s="104">
        <v>44866</v>
      </c>
      <c r="W253" s="110">
        <v>6.13E-2</v>
      </c>
    </row>
    <row r="254" spans="1:23">
      <c r="A254" s="104">
        <v>44896</v>
      </c>
      <c r="B254" s="102">
        <v>4.7441000000000004</v>
      </c>
      <c r="C254" s="102">
        <v>4.6798000000000002</v>
      </c>
      <c r="D254" s="102">
        <v>4.4208999999999996</v>
      </c>
      <c r="H254" s="104">
        <f t="shared" ref="H254" si="18">A254</f>
        <v>44896</v>
      </c>
      <c r="I254" s="109">
        <v>2.7980000000000001E-3</v>
      </c>
      <c r="J254" s="109">
        <v>1.984E-2</v>
      </c>
      <c r="K254" s="109">
        <v>4.7605700000000001E-2</v>
      </c>
      <c r="L254" s="109">
        <v>7.3099999999999998E-2</v>
      </c>
      <c r="V254" s="104">
        <v>44896</v>
      </c>
      <c r="W254" s="110">
        <v>6.0199999999999997E-2</v>
      </c>
    </row>
    <row r="255" spans="1:23">
      <c r="A255" s="104">
        <v>44927</v>
      </c>
      <c r="B255" s="102">
        <v>4.7169999999999996</v>
      </c>
      <c r="C255" s="102">
        <v>4.6967999999999996</v>
      </c>
      <c r="D255" s="102">
        <v>4.3571</v>
      </c>
      <c r="H255" s="104">
        <f t="shared" ref="H255:H256" si="19">A255</f>
        <v>44927</v>
      </c>
      <c r="I255" s="109">
        <v>7.0260000000000001E-3</v>
      </c>
      <c r="J255" s="109">
        <v>1.984E-2</v>
      </c>
      <c r="K255" s="109">
        <v>4.7605700000000001E-2</v>
      </c>
      <c r="L255" s="109">
        <v>6.9500000000000006E-2</v>
      </c>
      <c r="V255" s="104">
        <v>44927</v>
      </c>
      <c r="W255" s="110">
        <v>3.44E-2</v>
      </c>
    </row>
    <row r="256" spans="1:23">
      <c r="A256" s="104">
        <v>44958</v>
      </c>
      <c r="B256" s="102">
        <v>4.7866999999999997</v>
      </c>
      <c r="C256" s="102">
        <v>4.7427000000000001</v>
      </c>
      <c r="D256" s="102">
        <v>4.4264000000000001</v>
      </c>
      <c r="H256" s="104">
        <f t="shared" si="19"/>
        <v>44958</v>
      </c>
      <c r="I256" s="109">
        <v>8.6119999999999999E-3</v>
      </c>
      <c r="J256" s="109">
        <v>2.7023999999999999E-2</v>
      </c>
      <c r="K256" s="109">
        <v>4.9624300000000003E-2</v>
      </c>
      <c r="L256" s="109">
        <v>6.9400000000000003E-2</v>
      </c>
      <c r="N256" s="99" t="s">
        <v>79</v>
      </c>
      <c r="O256" s="99" t="s">
        <v>80</v>
      </c>
      <c r="V256" s="104">
        <v>44958</v>
      </c>
      <c r="W256" s="110">
        <v>2.2100000000000002E-2</v>
      </c>
    </row>
    <row r="257" spans="1:23">
      <c r="A257" s="104">
        <v>44986</v>
      </c>
      <c r="B257" s="102">
        <v>4.7408999999999999</v>
      </c>
      <c r="C257" s="102">
        <v>4.6924999999999999</v>
      </c>
      <c r="D257" s="102">
        <v>4.3914</v>
      </c>
      <c r="H257" s="104">
        <f t="shared" ref="H257:H258" si="20">A257</f>
        <v>44986</v>
      </c>
      <c r="I257" s="109">
        <v>9.7920000000000004E-3</v>
      </c>
      <c r="J257" s="109">
        <v>3.0384000000000001E-2</v>
      </c>
      <c r="K257" s="109">
        <v>4.9624300000000003E-2</v>
      </c>
      <c r="L257" s="109">
        <v>6.9400000000000003E-2</v>
      </c>
      <c r="N257" s="123">
        <v>-1.36E-4</v>
      </c>
      <c r="O257" s="123">
        <v>3.1000000000000001E-5</v>
      </c>
      <c r="V257" s="104">
        <v>44986</v>
      </c>
      <c r="W257" s="110">
        <v>1.0999999999999999E-2</v>
      </c>
    </row>
    <row r="258" spans="1:23">
      <c r="A258" s="104">
        <v>45017</v>
      </c>
      <c r="B258" s="102">
        <v>4.7102000000000004</v>
      </c>
      <c r="C258" s="102">
        <v>4.6414</v>
      </c>
      <c r="D258" s="102">
        <v>4.2332999999999998</v>
      </c>
      <c r="H258" s="104">
        <f t="shared" si="20"/>
        <v>45017</v>
      </c>
      <c r="I258" s="109">
        <v>9.7920000000000004E-3</v>
      </c>
      <c r="J258" s="109">
        <v>3.0384000000000001E-2</v>
      </c>
      <c r="K258" s="109">
        <v>5.1765699999999998E-2</v>
      </c>
      <c r="L258" s="109">
        <v>6.9000000000000006E-2</v>
      </c>
      <c r="N258" s="123"/>
      <c r="O258" s="123"/>
      <c r="V258" s="104">
        <f>H258</f>
        <v>45017</v>
      </c>
      <c r="W258" s="110">
        <v>4.0000000000000001E-3</v>
      </c>
    </row>
    <row r="259" spans="1:23">
      <c r="A259" s="104">
        <v>45047</v>
      </c>
      <c r="B259" s="102">
        <v>4.6548999999999996</v>
      </c>
      <c r="C259" s="102">
        <v>4.5411000000000001</v>
      </c>
      <c r="D259" s="102">
        <v>4.1791</v>
      </c>
      <c r="H259" s="104">
        <f t="shared" ref="H259" si="21">A259</f>
        <v>45047</v>
      </c>
      <c r="I259" s="109">
        <f>1.1285%+O257</f>
        <v>1.1316E-2</v>
      </c>
      <c r="J259" s="109">
        <f>3.25%+N257</f>
        <v>3.2364000000000004E-2</v>
      </c>
      <c r="K259" s="109">
        <v>5.2991400000000001E-2</v>
      </c>
      <c r="L259" s="109">
        <v>6.8995000000000001E-2</v>
      </c>
      <c r="V259" s="104">
        <f>H259</f>
        <v>45047</v>
      </c>
      <c r="W259" s="110">
        <v>4.0000000000000001E-3</v>
      </c>
    </row>
    <row r="260" spans="1:23">
      <c r="A260" s="104">
        <v>45078</v>
      </c>
      <c r="B260" s="124">
        <v>4.5777000000000001</v>
      </c>
      <c r="C260" s="124">
        <v>4.4648000000000003</v>
      </c>
      <c r="D260" s="124">
        <v>4.1215000000000002</v>
      </c>
      <c r="H260" s="104">
        <f t="shared" ref="H260:H265" si="22">A260</f>
        <v>45078</v>
      </c>
      <c r="I260" s="109">
        <f>1.2917%+O257</f>
        <v>1.2948000000000001E-2</v>
      </c>
      <c r="J260" s="109">
        <f>3.474%+N257</f>
        <v>3.4604000000000003E-2</v>
      </c>
      <c r="K260" s="109">
        <v>5.4960000000000002E-2</v>
      </c>
      <c r="L260" s="109">
        <f>L259</f>
        <v>6.8995000000000001E-2</v>
      </c>
      <c r="V260" s="104">
        <f t="shared" ref="V260:V265" si="23">H260</f>
        <v>45078</v>
      </c>
      <c r="W260" s="110">
        <v>4.0000000000000001E-3</v>
      </c>
    </row>
    <row r="261" spans="1:23">
      <c r="A261" s="104">
        <v>45108</v>
      </c>
      <c r="B261" s="124">
        <v>4.6006999999999998</v>
      </c>
      <c r="C261" s="124">
        <v>4.4455</v>
      </c>
      <c r="D261" s="124">
        <v>4.0273000000000003</v>
      </c>
      <c r="H261" s="104">
        <f t="shared" si="22"/>
        <v>45108</v>
      </c>
      <c r="I261" s="109">
        <f>1.4495%+O257</f>
        <v>1.4526000000000001E-2</v>
      </c>
      <c r="J261" s="109">
        <f>3.587%+N257</f>
        <v>3.5734000000000002E-2</v>
      </c>
      <c r="K261" s="109">
        <v>5.4960000000000002E-2</v>
      </c>
      <c r="L261" s="109">
        <f>L260</f>
        <v>6.8995000000000001E-2</v>
      </c>
      <c r="V261" s="104">
        <f t="shared" si="23"/>
        <v>45108</v>
      </c>
      <c r="W261" s="110">
        <v>6.0000000000000001E-3</v>
      </c>
    </row>
    <row r="262" spans="1:23">
      <c r="A262" s="104">
        <v>45139</v>
      </c>
      <c r="B262" s="102">
        <v>4.6520999999999999</v>
      </c>
      <c r="C262" s="102">
        <v>4.4599000000000002</v>
      </c>
      <c r="D262" s="124">
        <v>4.0888</v>
      </c>
      <c r="H262" s="104">
        <f t="shared" si="22"/>
        <v>45139</v>
      </c>
      <c r="I262" s="109">
        <f>1.55%+O257</f>
        <v>1.5531E-2</v>
      </c>
      <c r="J262" s="109">
        <f>3.725%+N257</f>
        <v>3.7114000000000001E-2</v>
      </c>
      <c r="K262" s="109">
        <v>5.43258E-2</v>
      </c>
      <c r="L262" s="109">
        <v>6.7199999999999996E-2</v>
      </c>
      <c r="V262" s="104">
        <f t="shared" si="23"/>
        <v>45139</v>
      </c>
      <c r="W262" s="110">
        <v>6.0000000000000001E-3</v>
      </c>
    </row>
    <row r="263" spans="1:23">
      <c r="A263" s="104">
        <v>45170</v>
      </c>
      <c r="B263" s="102">
        <v>4.7882999999999996</v>
      </c>
      <c r="C263" s="102">
        <v>4.5940000000000003</v>
      </c>
      <c r="D263" s="102">
        <v>4.2973999999999997</v>
      </c>
      <c r="H263" s="104">
        <f t="shared" si="22"/>
        <v>45170</v>
      </c>
      <c r="I263" s="109">
        <f>1.65%+O257</f>
        <v>1.6531000000000001E-2</v>
      </c>
      <c r="J263" s="109">
        <f>3.725%+N257</f>
        <v>3.7114000000000001E-2</v>
      </c>
      <c r="K263" s="109">
        <v>5.43258E-2</v>
      </c>
      <c r="L263" s="109">
        <f>L262</f>
        <v>6.7199999999999996E-2</v>
      </c>
      <c r="V263" s="104">
        <f t="shared" si="23"/>
        <v>45170</v>
      </c>
      <c r="W263" s="110">
        <v>0.01</v>
      </c>
    </row>
    <row r="264" spans="1:23">
      <c r="A264" s="104">
        <v>45200</v>
      </c>
      <c r="B264" s="102">
        <v>4.7306999999999997</v>
      </c>
      <c r="C264" s="102">
        <v>4.5186000000000002</v>
      </c>
      <c r="D264" s="102">
        <v>4.2758000000000003</v>
      </c>
      <c r="H264" s="104">
        <f t="shared" si="22"/>
        <v>45200</v>
      </c>
      <c r="I264" s="109">
        <f>1.71%+O257</f>
        <v>1.7131E-2</v>
      </c>
      <c r="J264" s="125">
        <f>3.955%+N257</f>
        <v>3.9414000000000005E-2</v>
      </c>
      <c r="K264" s="109">
        <f>K263</f>
        <v>5.43258E-2</v>
      </c>
      <c r="L264" s="109">
        <v>5.7799999999999997E-2</v>
      </c>
      <c r="V264" s="104">
        <f t="shared" si="23"/>
        <v>45200</v>
      </c>
      <c r="W264" s="110">
        <v>7.0000000000000001E-3</v>
      </c>
    </row>
    <row r="265" spans="1:23">
      <c r="A265" s="104">
        <v>45231</v>
      </c>
      <c r="B265" s="102">
        <v>4.5707000000000004</v>
      </c>
      <c r="C265" s="102">
        <v>4.4032999999999998</v>
      </c>
      <c r="D265" s="102">
        <v>4.0787000000000004</v>
      </c>
      <c r="H265" s="104">
        <f t="shared" si="22"/>
        <v>45231</v>
      </c>
      <c r="I265" s="109">
        <f>1.71%+O257</f>
        <v>1.7131E-2</v>
      </c>
      <c r="J265" s="109">
        <f>3.955%+N257</f>
        <v>3.9414000000000005E-2</v>
      </c>
      <c r="K265" s="109">
        <f>K264</f>
        <v>5.43258E-2</v>
      </c>
      <c r="L265" s="109">
        <v>5.6500000000000002E-2</v>
      </c>
      <c r="V265" s="104">
        <f t="shared" si="23"/>
        <v>45231</v>
      </c>
      <c r="W265" s="126">
        <v>0</v>
      </c>
    </row>
    <row r="266" spans="1:23">
      <c r="A266" s="133">
        <f>EDATE(A265,1)</f>
        <v>45261</v>
      </c>
      <c r="B266" s="134">
        <v>4.5910000000000002</v>
      </c>
      <c r="C266" s="134">
        <v>4.3323</v>
      </c>
      <c r="D266" s="134">
        <v>3.9672000000000001</v>
      </c>
    </row>
    <row r="267" spans="1:23">
      <c r="A267" s="133">
        <f t="shared" ref="A267:A274" si="24">EDATE(A266,1)</f>
        <v>45292</v>
      </c>
      <c r="B267" s="134">
        <v>4.6620999999999997</v>
      </c>
      <c r="C267" s="134">
        <v>4.3651999999999997</v>
      </c>
      <c r="D267" s="134">
        <v>4.0011000000000001</v>
      </c>
    </row>
    <row r="268" spans="1:23">
      <c r="A268" s="133">
        <f t="shared" si="24"/>
        <v>45323</v>
      </c>
      <c r="B268" s="134">
        <v>4.5766</v>
      </c>
      <c r="C268" s="134">
        <v>4.3273999999999999</v>
      </c>
      <c r="D268" s="134">
        <v>4.0083000000000002</v>
      </c>
    </row>
    <row r="269" spans="1:23">
      <c r="A269" s="133">
        <f t="shared" si="24"/>
        <v>45352</v>
      </c>
      <c r="B269" s="134">
        <v>4.4621000000000004</v>
      </c>
      <c r="C269" s="134">
        <v>4.3074000000000003</v>
      </c>
      <c r="D269" s="134">
        <v>3.9658000000000002</v>
      </c>
    </row>
    <row r="270" spans="1:23">
      <c r="A270" s="132">
        <f t="shared" si="24"/>
        <v>45383</v>
      </c>
      <c r="B270" s="134">
        <v>4.4105999999999996</v>
      </c>
      <c r="C270" s="134">
        <v>4.3026</v>
      </c>
      <c r="D270" s="134">
        <v>4.0106000000000002</v>
      </c>
    </row>
    <row r="271" spans="1:23">
      <c r="A271" s="104">
        <f t="shared" si="24"/>
        <v>45413</v>
      </c>
      <c r="B271" s="134">
        <v>4.3598999999999997</v>
      </c>
      <c r="C271" s="134">
        <v>4.2847999999999997</v>
      </c>
      <c r="D271" s="134">
        <v>3.9674999999999998</v>
      </c>
    </row>
    <row r="272" spans="1:23">
      <c r="A272" s="104">
        <f t="shared" si="24"/>
        <v>45444</v>
      </c>
      <c r="B272" s="134">
        <v>4.4859</v>
      </c>
      <c r="C272" s="134">
        <v>4.3177000000000003</v>
      </c>
      <c r="D272" s="134">
        <v>4.0126999999999997</v>
      </c>
    </row>
    <row r="273" spans="1:4">
      <c r="A273" s="104">
        <f t="shared" si="24"/>
        <v>45474</v>
      </c>
      <c r="B273" s="134">
        <v>4.4230999999999998</v>
      </c>
      <c r="C273" s="134">
        <v>4.2811000000000003</v>
      </c>
      <c r="D273" s="134">
        <v>3.9462000000000002</v>
      </c>
    </row>
    <row r="274" spans="1:4">
      <c r="A274" s="104">
        <f t="shared" si="24"/>
        <v>45505</v>
      </c>
      <c r="B274" s="134">
        <v>4.5404999999999998</v>
      </c>
      <c r="C274" s="134">
        <v>4.2918000000000003</v>
      </c>
      <c r="D274" s="134">
        <v>3.9020000000000001</v>
      </c>
    </row>
  </sheetData>
  <sheetProtection algorithmName="SHA-512" hashValue="QOA0iaUo1nN+8T6pFo7u8RFJ/lrZzd4NDCH5q0LiTvCdKgU+Jcb/ZPDJVC+lhq6YHss9h5r3NF5D5phawpmbsQ==" saltValue="L3INuHVjI7jl/vjUdPosOg==" spinCount="100000" sheet="1" formatCells="0" formatColumns="0" formatRows="0" insertColumns="0" insertRows="0" insertHyperlinks="0" deleteColumns="0" deleteRows="0" sort="0" autoFilter="0" pivotTables="0"/>
  <hyperlinks>
    <hyperlink ref="R2" r:id="rId1" xr:uid="{C1494FF1-9BF9-CD47-AADA-61F9F68095EF}"/>
    <hyperlink ref="M8" r:id="rId2" location="wibor" xr:uid="{A550D0B3-B94B-914C-B38E-DCFF1B8C3A55}"/>
    <hyperlink ref="W2" r:id="rId3" xr:uid="{AF1D8182-3699-9E46-8440-95FB17B6FD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4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Dane_kredytowe</vt:lpstr>
      <vt:lpstr>Arkusz1</vt:lpstr>
      <vt:lpstr>KALKULATOR</vt:lpstr>
      <vt:lpstr>Dane</vt:lpstr>
      <vt:lpstr>Wykres rat</vt:lpstr>
      <vt:lpstr>Inflacja</vt:lpstr>
      <vt:lpstr>Kursy</vt:lpstr>
      <vt:lpstr>Marza</vt:lpstr>
      <vt:lpstr>Oproc</vt:lpstr>
      <vt:lpstr>waluta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Diana Volchanitsa</cp:lastModifiedBy>
  <dcterms:created xsi:type="dcterms:W3CDTF">2015-02-25T19:10:48Z</dcterms:created>
  <dcterms:modified xsi:type="dcterms:W3CDTF">2024-09-09T10:05:56Z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6ebf0-682e-4bd9-a025-31bc7eff6573_Enabled">
    <vt:lpwstr>true</vt:lpwstr>
  </property>
  <property fmtid="{D5CDD505-2E9C-101B-9397-08002B2CF9AE}" pid="3" name="MSIP_Label_2e56ebf0-682e-4bd9-a025-31bc7eff6573_SetDate">
    <vt:lpwstr>2024-02-19T09:13:18Z</vt:lpwstr>
  </property>
  <property fmtid="{D5CDD505-2E9C-101B-9397-08002B2CF9AE}" pid="4" name="MSIP_Label_2e56ebf0-682e-4bd9-a025-31bc7eff6573_Method">
    <vt:lpwstr>Privileged</vt:lpwstr>
  </property>
  <property fmtid="{D5CDD505-2E9C-101B-9397-08002B2CF9AE}" pid="5" name="MSIP_Label_2e56ebf0-682e-4bd9-a025-31bc7eff6573_Name">
    <vt:lpwstr>Personal</vt:lpwstr>
  </property>
  <property fmtid="{D5CDD505-2E9C-101B-9397-08002B2CF9AE}" pid="6" name="MSIP_Label_2e56ebf0-682e-4bd9-a025-31bc7eff6573_SiteId">
    <vt:lpwstr>522fc9ff-aca0-4d49-8e36-d13332e34662</vt:lpwstr>
  </property>
  <property fmtid="{D5CDD505-2E9C-101B-9397-08002B2CF9AE}" pid="7" name="MSIP_Label_2e56ebf0-682e-4bd9-a025-31bc7eff6573_ActionId">
    <vt:lpwstr>207b7b32-0bea-430f-8b19-296840d499ea</vt:lpwstr>
  </property>
  <property fmtid="{D5CDD505-2E9C-101B-9397-08002B2CF9AE}" pid="8" name="MSIP_Label_2e56ebf0-682e-4bd9-a025-31bc7eff6573_ContentBits">
    <vt:lpwstr>0</vt:lpwstr>
  </property>
</Properties>
</file>